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hidePivotFieldList="1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kanel\OneDrive\Υπολογιστής\"/>
    </mc:Choice>
  </mc:AlternateContent>
  <xr:revisionPtr revIDLastSave="0" documentId="13_ncr:1_{1C1D0F58-03B1-4B6B-B73A-CA1708917EA9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Sheet1" sheetId="1" r:id="rId1"/>
    <sheet name="ΚΟΣΤΟΛΟΓΗΣΗ" sheetId="12" r:id="rId2"/>
    <sheet name="Sheet6" sheetId="11" state="hidden" r:id="rId3"/>
    <sheet name="Sheet3" sheetId="9" state="hidden" r:id="rId4"/>
    <sheet name="Sheet5" sheetId="5" state="hidden" r:id="rId5"/>
    <sheet name="Sheet4" sheetId="4" state="hidden" r:id="rId6"/>
    <sheet name="ΜΕΤΑΚΙΝΗΣΗ" sheetId="3" r:id="rId7"/>
    <sheet name="ΔΙΕΡΜΗΝΕΙΑ" sheetId="6" r:id="rId8"/>
    <sheet name="ΠΡΟΣΒΑΣΙΜΑ ΣΥΓΓΡΑΜΜΑΤΑ" sheetId="14" r:id="rId9"/>
    <sheet name="ΑΝΑ ΠΕΡΙΦΕΡΕΙΑ" sheetId="13" r:id="rId10"/>
  </sheets>
  <definedNames>
    <definedName name="_xlnm._FilterDatabase" localSheetId="0" hidden="1">Sheet1!$A$3:$M$35</definedName>
    <definedName name="_xlnm._FilterDatabase" localSheetId="6" hidden="1">ΜΕΤΑΚΙΝΗΣΗ!$A$1:$D$1</definedName>
  </definedNames>
  <calcPr calcId="191029"/>
  <pivotCaches>
    <pivotCache cacheId="0" r:id="rId11"/>
    <pivotCache cacheId="1" r:id="rId12"/>
    <pivotCache cacheId="2" r:id="rId13"/>
    <pivotCache cacheId="6" r:id="rId1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6" l="1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35" i="1"/>
  <c r="D27" i="6"/>
  <c r="H33" i="14"/>
  <c r="H3" i="14"/>
  <c r="H4" i="14"/>
  <c r="H5" i="14"/>
  <c r="H6" i="14"/>
  <c r="H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2" i="14"/>
  <c r="G33" i="14"/>
  <c r="E8" i="12"/>
  <c r="J6" i="1"/>
  <c r="L6" i="1" s="1"/>
  <c r="K6" i="1" s="1"/>
  <c r="J25" i="1"/>
  <c r="L25" i="1" s="1"/>
  <c r="K25" i="1" s="1"/>
  <c r="J30" i="1"/>
  <c r="J31" i="1"/>
  <c r="J18" i="1"/>
  <c r="L18" i="1" s="1"/>
  <c r="K18" i="1" s="1"/>
  <c r="J17" i="1"/>
  <c r="L17" i="1" s="1"/>
  <c r="K17" i="1" s="1"/>
  <c r="J16" i="1"/>
  <c r="L16" i="1" s="1"/>
  <c r="K16" i="1" s="1"/>
  <c r="J11" i="1"/>
  <c r="L11" i="1" s="1"/>
  <c r="K11" i="1" s="1"/>
  <c r="J12" i="1"/>
  <c r="J7" i="1"/>
  <c r="L7" i="1" s="1"/>
  <c r="K7" i="1" s="1"/>
  <c r="J4" i="1"/>
  <c r="J5" i="1"/>
  <c r="L12" i="1"/>
  <c r="K12" i="1" s="1"/>
  <c r="L5" i="1"/>
  <c r="K5" i="1" s="1"/>
  <c r="L4" i="1"/>
  <c r="K4" i="1" s="1"/>
  <c r="J20" i="1"/>
  <c r="L20" i="1" s="1"/>
  <c r="K20" i="1" s="1"/>
  <c r="J34" i="1"/>
  <c r="L34" i="1" s="1"/>
  <c r="K34" i="1" s="1"/>
  <c r="J29" i="1"/>
  <c r="L29" i="1" s="1"/>
  <c r="K29" i="1" s="1"/>
  <c r="J28" i="1"/>
  <c r="L28" i="1" s="1"/>
  <c r="K28" i="1" s="1"/>
  <c r="J26" i="1"/>
  <c r="L26" i="1" s="1"/>
  <c r="K26" i="1" s="1"/>
  <c r="J24" i="1"/>
  <c r="L24" i="1" s="1"/>
  <c r="K24" i="1" s="1"/>
  <c r="J23" i="1"/>
  <c r="L23" i="1" s="1"/>
  <c r="K23" i="1" s="1"/>
  <c r="J15" i="1"/>
  <c r="L15" i="1" s="1"/>
  <c r="K15" i="1" s="1"/>
  <c r="J14" i="1"/>
  <c r="L14" i="1" s="1"/>
  <c r="K14" i="1" s="1"/>
  <c r="J33" i="1"/>
  <c r="L33" i="1" s="1"/>
  <c r="K33" i="1" s="1"/>
  <c r="J32" i="1"/>
  <c r="L32" i="1" s="1"/>
  <c r="K32" i="1" s="1"/>
  <c r="J27" i="1"/>
  <c r="L27" i="1" s="1"/>
  <c r="K27" i="1" s="1"/>
  <c r="J22" i="1"/>
  <c r="L22" i="1" s="1"/>
  <c r="K22" i="1" s="1"/>
  <c r="J21" i="1"/>
  <c r="L21" i="1" s="1"/>
  <c r="K21" i="1" s="1"/>
  <c r="J13" i="1"/>
  <c r="L13" i="1" s="1"/>
  <c r="K13" i="1" s="1"/>
  <c r="J10" i="1"/>
  <c r="L10" i="1" s="1"/>
  <c r="K10" i="1" s="1"/>
  <c r="J19" i="1"/>
  <c r="L19" i="1" s="1"/>
  <c r="K19" i="1" s="1"/>
  <c r="J9" i="1"/>
  <c r="L9" i="1" s="1"/>
  <c r="K9" i="1" s="1"/>
  <c r="J8" i="1"/>
  <c r="L8" i="1" s="1"/>
  <c r="K8" i="1" s="1"/>
  <c r="F5" i="14"/>
  <c r="E32" i="14"/>
  <c r="E31" i="14"/>
  <c r="E30" i="14"/>
  <c r="E29" i="14"/>
  <c r="F29" i="14" s="1"/>
  <c r="E28" i="14"/>
  <c r="E27" i="14"/>
  <c r="E26" i="14"/>
  <c r="E25" i="14"/>
  <c r="E24" i="14"/>
  <c r="E23" i="14"/>
  <c r="F23" i="14" s="1"/>
  <c r="E22" i="14"/>
  <c r="E21" i="14"/>
  <c r="E20" i="14"/>
  <c r="E19" i="14"/>
  <c r="E18" i="14"/>
  <c r="E17" i="14"/>
  <c r="E16" i="14"/>
  <c r="E15" i="14"/>
  <c r="F15" i="14" s="1"/>
  <c r="E14" i="14"/>
  <c r="E13" i="14"/>
  <c r="E12" i="14"/>
  <c r="E11" i="14"/>
  <c r="E10" i="14"/>
  <c r="F10" i="14" s="1"/>
  <c r="E9" i="14"/>
  <c r="E8" i="14"/>
  <c r="E7" i="14"/>
  <c r="E6" i="14"/>
  <c r="E5" i="14"/>
  <c r="E4" i="14"/>
  <c r="E3" i="14"/>
  <c r="F3" i="14" s="1"/>
  <c r="E2" i="14"/>
  <c r="D33" i="14"/>
  <c r="G27" i="6" l="1"/>
  <c r="E33" i="14"/>
  <c r="F33" i="14"/>
  <c r="J35" i="1"/>
  <c r="C9" i="13"/>
  <c r="C12" i="13"/>
  <c r="C11" i="13"/>
  <c r="C10" i="13"/>
  <c r="C13" i="13"/>
  <c r="C5" i="13"/>
  <c r="C8" i="13"/>
  <c r="C4" i="13"/>
  <c r="C15" i="13"/>
  <c r="C7" i="13"/>
  <c r="C14" i="13"/>
  <c r="C3" i="13"/>
  <c r="C6" i="13"/>
  <c r="C16" i="13" l="1"/>
  <c r="E7" i="12"/>
  <c r="E6" i="12"/>
  <c r="G6" i="12" s="1"/>
  <c r="E5" i="12"/>
  <c r="G5" i="12" s="1"/>
  <c r="M17" i="1" l="1"/>
  <c r="F2" i="6"/>
  <c r="G2" i="6" l="1"/>
  <c r="F27" i="6"/>
  <c r="D35" i="1"/>
  <c r="E31" i="1"/>
  <c r="F35" i="1"/>
  <c r="I30" i="1"/>
  <c r="M20" i="1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M27" i="1"/>
  <c r="M10" i="1"/>
  <c r="C27" i="3"/>
  <c r="H35" i="1"/>
  <c r="L30" i="1" l="1"/>
  <c r="K30" i="1" s="1"/>
  <c r="M30" i="1" s="1"/>
  <c r="L31" i="1"/>
  <c r="K31" i="1" s="1"/>
  <c r="M31" i="1" s="1"/>
  <c r="E35" i="1"/>
  <c r="I35" i="1"/>
  <c r="M28" i="1"/>
  <c r="M19" i="1"/>
  <c r="M24" i="1"/>
  <c r="M8" i="1"/>
  <c r="M16" i="1"/>
  <c r="M25" i="1"/>
  <c r="M33" i="1"/>
  <c r="M7" i="1"/>
  <c r="M9" i="1"/>
  <c r="M18" i="1"/>
  <c r="M26" i="1"/>
  <c r="M34" i="1"/>
  <c r="M15" i="1"/>
  <c r="M12" i="1"/>
  <c r="M21" i="1"/>
  <c r="M29" i="1"/>
  <c r="M11" i="1"/>
  <c r="M5" i="1"/>
  <c r="M13" i="1"/>
  <c r="M22" i="1"/>
  <c r="M6" i="1"/>
  <c r="M14" i="1"/>
  <c r="M23" i="1"/>
  <c r="M32" i="1"/>
  <c r="D27" i="3"/>
  <c r="L35" i="1"/>
  <c r="K35" i="1" l="1"/>
  <c r="M4" i="1"/>
  <c r="M35" i="1" s="1"/>
</calcChain>
</file>

<file path=xl/sharedStrings.xml><?xml version="1.0" encoding="utf-8"?>
<sst xmlns="http://schemas.openxmlformats.org/spreadsheetml/2006/main" count="307" uniqueCount="110">
  <si>
    <t>ΙΔΡΥΜΑ</t>
  </si>
  <si>
    <t>ΠΕΠ</t>
  </si>
  <si>
    <t>Ενέργειες Δημοσιότητας</t>
  </si>
  <si>
    <t>ΠΑΝΕΠΙΣΤΗΜΙΟ ΑΙΓΑΙΟΥ</t>
  </si>
  <si>
    <t>ΒΟΡΕΙΟΥ ΑΙΓΑΙΟΥ</t>
  </si>
  <si>
    <t>ΔΙΕΘΝΕΣ ΠΑΝ. ΕΛΛΑΔΟΣ</t>
  </si>
  <si>
    <t>ΚΕΝΤΡΙΚΗΣ ΜΑΚΕΔΟΝΙΑΣ</t>
  </si>
  <si>
    <t>ΠΑΝ. ΔΥΤΙΚΗΣ ΜΑΚΕΔΟΝΙΑΣ</t>
  </si>
  <si>
    <t>ΔΥΤΙΚΗΣ ΜΑΚΕΔΟΝΙΑΣ</t>
  </si>
  <si>
    <t>ΠΑΝ. ΙΩΑΝΝΙΝΩΝ</t>
  </si>
  <si>
    <t>ΗΠΕΙΡΟΥ</t>
  </si>
  <si>
    <t>ΕΑΠ</t>
  </si>
  <si>
    <t>ΔΥΤΙΚΗΣ ΕΛΛΑΔΑΣ</t>
  </si>
  <si>
    <t>ΠΑΝ. ΘΕΣΣΑΛΙΑΣ</t>
  </si>
  <si>
    <t>ΘΕΣΣΑΛΙΑΣ</t>
  </si>
  <si>
    <t>ΠΑ.ΠΕΙ.</t>
  </si>
  <si>
    <t xml:space="preserve">ΑΤΤΙΚΗΣ </t>
  </si>
  <si>
    <t>ΠΟΛΥΤΕΧΝΕΙΟ ΚΡΗΤΗΣ</t>
  </si>
  <si>
    <t>ΚΡΗΤΗΣ</t>
  </si>
  <si>
    <t>ΙΟΝΙΟ ΠΑΝΕΠΙΣΤΗΜΙΟ</t>
  </si>
  <si>
    <t>ΙΟΝΙΩΝ ΝΗΣΩΝ</t>
  </si>
  <si>
    <t>ΠΑΝ. ΠΕΛΟΠΟΝΝΗΣΟΥ</t>
  </si>
  <si>
    <t>ΠΕΛΟΠΟΝΝΗΣΟΥ</t>
  </si>
  <si>
    <t>ΠΑΔΑ</t>
  </si>
  <si>
    <t>ΔΠΘ</t>
  </si>
  <si>
    <t>ΑΝΑΤ. ΜΑΚ ΘΡΑΚΗ</t>
  </si>
  <si>
    <t>ΠΑΝ. ΠΑΤΡΩΝ</t>
  </si>
  <si>
    <t>ΕΛΜΕΠΑ</t>
  </si>
  <si>
    <t>ΠΑΝΤΕΙΟ</t>
  </si>
  <si>
    <t>ΧΑΡΟΚΟΠΕΙΟ</t>
  </si>
  <si>
    <t>ΓΕΩΠΟΝΙΚΟ</t>
  </si>
  <si>
    <t>ΑΣΠΑΙΤΕ</t>
  </si>
  <si>
    <t>ΟΠΑ</t>
  </si>
  <si>
    <t>ΠΑΜΑΚ</t>
  </si>
  <si>
    <t>ΑΣΚΤ</t>
  </si>
  <si>
    <t>ΕΚΠΑ</t>
  </si>
  <si>
    <t>ΠΑΝ ΚΡΗΤΗΣ</t>
  </si>
  <si>
    <t>ΕΜΠ</t>
  </si>
  <si>
    <t>ΑΠΘ</t>
  </si>
  <si>
    <t>ΣΥΝΟΛΟ</t>
  </si>
  <si>
    <t>ΚΑΤΗΓΟΡΙΕΣ ΔΑΠΑΝΩΝ</t>
  </si>
  <si>
    <t>Row Labels</t>
  </si>
  <si>
    <t>Grand Total</t>
  </si>
  <si>
    <t>Sum of ΣΥΝΟΛΟ</t>
  </si>
  <si>
    <t>ΠΟΣΟΣΤΟ</t>
  </si>
  <si>
    <t>Α/Α</t>
  </si>
  <si>
    <t>ΝΟΤΙΟΥ ΑΙΓΑΙΟΥ</t>
  </si>
  <si>
    <t>ΣΤΕΡΕΑΣ ΕΛΛΑΔΟΣ</t>
  </si>
  <si>
    <t>ΑΝΑΤ. ΜΑΚ ΘΡΑΚΗΣ</t>
  </si>
  <si>
    <t>ΠΑΝ ΘΕΣΣΑΛΙΑΣ</t>
  </si>
  <si>
    <t>ΠΑΝ ΙΩΑΝΝΙΝΩΝ</t>
  </si>
  <si>
    <t>ΠΑΠΕΙ</t>
  </si>
  <si>
    <t>ΠΟΛ. ΚΡΗΤΗΣ</t>
  </si>
  <si>
    <t>ΠΑΝ ΠΑΤΡΩΝ</t>
  </si>
  <si>
    <t>ΕλΜεΠα</t>
  </si>
  <si>
    <t>ΠΑΔΥΜΑ</t>
  </si>
  <si>
    <t>ΙΟΝΙΟ</t>
  </si>
  <si>
    <t xml:space="preserve">Άθροισμα </t>
  </si>
  <si>
    <t>Ιδρύματα</t>
  </si>
  <si>
    <t>Άθροισμα ΑΝΑ ΙΔΡΥΜΑ</t>
  </si>
  <si>
    <t>Μήνες ανά έτος</t>
  </si>
  <si>
    <t>Στελέχη Ηλεκτρονικής Προσβασιμότητας</t>
  </si>
  <si>
    <t>Στελέχη Κατάρτισης και υποστήριξης προσωπικού</t>
  </si>
  <si>
    <t>Λειτουργικές ανάγκες</t>
  </si>
  <si>
    <t>Έμμεσες Δαπάνες</t>
  </si>
  <si>
    <t>Μετακίνηση ΦμεΑ (από και προς το Πανεπιστήμιο)</t>
  </si>
  <si>
    <t>Στελέχη Μονάδας Προσβασιμότητας Γενικής Υποστήριξης</t>
  </si>
  <si>
    <t xml:space="preserve">Στελέχη Διερμηνείας </t>
  </si>
  <si>
    <t>Ετήσιο Κόστος</t>
  </si>
  <si>
    <t>Κόστος για 6 έτη</t>
  </si>
  <si>
    <t>Μονάδα</t>
  </si>
  <si>
    <t>Αριθμός Μονάδων</t>
  </si>
  <si>
    <t>Συνολικό Εκτιμώμενο Κόστος</t>
  </si>
  <si>
    <t>Α/Μ</t>
  </si>
  <si>
    <t>A/M</t>
  </si>
  <si>
    <t>ΚΑΤΑΝΟΜΗ ΑΝΑ ΠΕΡΙΦΕΡΕΙΑ</t>
  </si>
  <si>
    <t>Κοστολόγηση Δράσης "Υποστήριξη παρεμβάσεων ισότιμης πρόσβασης ΑμεΑ και άλλες ειδικές εκπαιδευτικές ανάγκες στην ανώτατη εκπαίδευση (ΕΚΤ)"</t>
  </si>
  <si>
    <t>Κατηγορία Δαπάνης</t>
  </si>
  <si>
    <t>Στέλεχος Μονάδας Προσβασιμότητας Γενικής Υποστήριξης</t>
  </si>
  <si>
    <t>Εκτιμώμενο καθαρό κόστος (€) ανά Μονάδα</t>
  </si>
  <si>
    <t>Μέσο Κόστος ανά Μονάδα (€)</t>
  </si>
  <si>
    <t>25 Ιδρύματα (υπολογισμός επιπλέον στελεχών για παραρτήματα σε άλλες περιφέρειες</t>
  </si>
  <si>
    <t>Στέλεχος Κατάρτισης και υποστήριξης προσωπικού</t>
  </si>
  <si>
    <t>διαφορετικός αριθμός ανάλογα με την κλίμακα των Ιδρυμάτων και τα παραρτήματα</t>
  </si>
  <si>
    <t>Λειτουργικές Ανάγκες</t>
  </si>
  <si>
    <t xml:space="preserve">Έμμεσες Δαπάνες </t>
  </si>
  <si>
    <t>8% επί του συνόλου των δαπανών που εμπεριέχουν αμοιβές</t>
  </si>
  <si>
    <t>ΠΕΡΙΦΕΡΕΙΕΣ</t>
  </si>
  <si>
    <t>ΣΥΝΟΛΟ ΑΝΑ ΠΕΠ</t>
  </si>
  <si>
    <t>Μονάδα Προσβασιμότητας*</t>
  </si>
  <si>
    <r>
      <t xml:space="preserve">ΕΚΤΙΜΗΣΗ ΑΡΙΘΜΟΥ ΑΤΟΜΩΝ ΜΕ ΚΙΝΗΤΙΚΕΣ ΑΝΑΠΗΡΙΕΣ ΠΟΥ ΕΊΝΑΙ </t>
    </r>
    <r>
      <rPr>
        <b/>
        <sz val="8"/>
        <color theme="0"/>
        <rFont val="Calibri"/>
        <family val="2"/>
        <scheme val="minor"/>
      </rPr>
      <t>ΧΡΗΣΤΕΣ ΑΜΑΞΙΔΙΩΝ Ή ΆΛΛΕΣ ΑΝΑΠΗΡΙΕΣ ΠΟΥ ΧΡΗΖΟΥΝ ΥΠΗΡΕΣΙΕΣ ΜΕΤΑΚΙΝΗΣΗΣ</t>
    </r>
  </si>
  <si>
    <t>Μηνιαίο κόστος**</t>
  </si>
  <si>
    <t>Στελέχη Παραγωγής Προσβάσιμων Συγγραμμάτων</t>
  </si>
  <si>
    <t>Προπτυχιακοί φοιτητές</t>
  </si>
  <si>
    <t>συντελεστής στελεχών προσβάσιμων συγγραμμάτων</t>
  </si>
  <si>
    <t>Τίτλος Δράσης:  Υποστήριξη παρεμβάσεων ισότιμης πρόσβασης Φοιτητών με Αναπηρία και Φοιτητών με Ειδικές Εκπαιδευτικές Ανάγκες στην ανώτατη εκπαίδευση (Ευρωπαϊκό Κοινωνικό Ταμείο (ΕΚΤ+))</t>
  </si>
  <si>
    <t>3% επί του συνόλου των δαπανών</t>
  </si>
  <si>
    <t>Ανάλυση στο φύλλο 'ΠΡΟΣΒΑΣΙΜΑ ΣΥΓΓΡΑΜΜΑΤΑ'!A1</t>
  </si>
  <si>
    <t>Στελέχη Παραγωγής Προσβάσιμων Συγγραμμάτων*</t>
  </si>
  <si>
    <t>Κόστος για 6 έτη (Μοναδιαίο Κόστος 1.800€)</t>
  </si>
  <si>
    <t>Στελέχη Παραγωγής Προσβάσιμων Συγγραμμάτων που αναλογούν στο Ίδρυμα</t>
  </si>
  <si>
    <r>
      <t>500€ ανά άτομο τον μήνα</t>
    </r>
    <r>
      <rPr>
        <b/>
        <sz val="8"/>
        <color theme="0"/>
        <rFont val="Calibri"/>
        <family val="2"/>
        <scheme val="minor"/>
      </rPr>
      <t xml:space="preserve"> (22 μήνες συνολικής μετακίνησης για 6 έτη)</t>
    </r>
  </si>
  <si>
    <t xml:space="preserve">**Το μηνιαίο κόστος επαφίεται στο κάθε ίδρυμα, αν θα επιλέξει διερμηνέα με μηνιαίο κόστος, με μερική απασχόληση ή με ωριαία αντιμισθία </t>
  </si>
  <si>
    <t>*Στα Ιδρύματα που έχουν παραρτήματα σε διαφορετική Περιφέρεια, ενώ τους αναλογούσε 1 στέλεχος, υπολογίστηκε ένα επιπλέον καθώς θα λειτουργεί σε άλλη περιφέρεια.</t>
  </si>
  <si>
    <t>ΓΕΩΠΟΝΙΚΟ ΠΑΝ***</t>
  </si>
  <si>
    <t>ΠΑΝ ΠΕΛΟΠΟΝΝΗΣ***</t>
  </si>
  <si>
    <t>ΠΑΝΑΙ***</t>
  </si>
  <si>
    <t>***Για τα Ιδρύματα που έχουν παραρτήματα σε διαφορετικές περιφέρειες και αναλογεί ένας διερμηνέας, έχουν κοστολογηθεί 2 (ένας για κάθε περιφέρεια)</t>
  </si>
  <si>
    <t>1 Διερμηνέας για 3 Φοιτητ. Στρογγυλοποίηση</t>
  </si>
  <si>
    <t>ΔΙΠΑΕ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</si>
</sst>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31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charset val="161"/>
    </font>
    <font>
      <sz val="12"/>
      <color theme="1"/>
      <name val="Calibri"/>
      <family val="2"/>
      <charset val="161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9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rgb="FF000000"/>
      <name val="Calibri"/>
      <family val="2"/>
      <charset val="161"/>
    </font>
    <font>
      <b/>
      <sz val="12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  <font>
      <b/>
      <sz val="12"/>
      <color rgb="FF0000FF"/>
      <name val="Calibri"/>
      <family val="2"/>
      <charset val="161"/>
    </font>
    <font>
      <b/>
      <i/>
      <sz val="12"/>
      <color rgb="FF0000FF"/>
      <name val="Calibri"/>
      <family val="2"/>
      <charset val="161"/>
    </font>
    <font>
      <b/>
      <sz val="11"/>
      <color rgb="FF0000FF"/>
      <name val="Calibri"/>
      <family val="2"/>
      <charset val="161"/>
    </font>
    <font>
      <b/>
      <sz val="12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u/>
      <sz val="11"/>
      <color theme="10"/>
      <name val="Calibri"/>
      <family val="2"/>
      <charset val="161"/>
      <scheme val="minor"/>
    </font>
    <font>
      <u/>
      <sz val="11"/>
      <color theme="11"/>
      <name val="Calibri"/>
      <family val="2"/>
      <charset val="161"/>
      <scheme val="minor"/>
    </font>
    <font>
      <i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</font>
  </fonts>
  <fills count="2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EED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/>
        <bgColor indexed="64"/>
      </patternFill>
    </fill>
    <fill>
      <patternFill patternType="solid">
        <fgColor theme="3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65">
    <xf numFmtId="0" fontId="0" fillId="0" borderId="0"/>
    <xf numFmtId="9" fontId="7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125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64" fontId="0" fillId="0" borderId="0" xfId="0" applyNumberFormat="1"/>
    <xf numFmtId="164" fontId="0" fillId="0" borderId="1" xfId="0" applyNumberFormat="1" applyBorder="1"/>
    <xf numFmtId="0" fontId="0" fillId="0" borderId="1" xfId="0" applyBorder="1"/>
    <xf numFmtId="164" fontId="6" fillId="0" borderId="1" xfId="0" applyNumberFormat="1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5" fillId="6" borderId="0" xfId="0" applyFont="1" applyFill="1" applyAlignment="1">
      <alignment horizontal="center" vertical="center"/>
    </xf>
    <xf numFmtId="0" fontId="0" fillId="0" borderId="1" xfId="0" applyBorder="1" applyAlignment="1">
      <alignment horizontal="left"/>
    </xf>
    <xf numFmtId="164" fontId="4" fillId="2" borderId="1" xfId="0" applyNumberFormat="1" applyFont="1" applyFill="1" applyBorder="1" applyAlignment="1"/>
    <xf numFmtId="0" fontId="1" fillId="7" borderId="0" xfId="0" applyFont="1" applyFill="1" applyAlignment="1">
      <alignment horizontal="center"/>
    </xf>
    <xf numFmtId="0" fontId="8" fillId="8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5" fillId="8" borderId="0" xfId="0" applyFont="1" applyFill="1" applyAlignment="1">
      <alignment horizontal="center" vertical="center" wrapText="1"/>
    </xf>
    <xf numFmtId="0" fontId="10" fillId="0" borderId="6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10" fillId="10" borderId="8" xfId="0" applyFont="1" applyFill="1" applyBorder="1" applyAlignment="1">
      <alignment vertical="center"/>
    </xf>
    <xf numFmtId="0" fontId="11" fillId="10" borderId="9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vertical="center" wrapText="1"/>
    </xf>
    <xf numFmtId="0" fontId="14" fillId="0" borderId="9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right" vertical="center"/>
    </xf>
    <xf numFmtId="3" fontId="0" fillId="0" borderId="1" xfId="0" applyNumberFormat="1" applyBorder="1" applyAlignment="1">
      <alignment horizontal="center"/>
    </xf>
    <xf numFmtId="0" fontId="18" fillId="0" borderId="0" xfId="0" applyFont="1"/>
    <xf numFmtId="0" fontId="19" fillId="3" borderId="1" xfId="0" applyFont="1" applyFill="1" applyBorder="1" applyAlignment="1">
      <alignment horizontal="center" vertical="center"/>
    </xf>
    <xf numFmtId="3" fontId="0" fillId="0" borderId="0" xfId="0" applyNumberFormat="1"/>
    <xf numFmtId="164" fontId="4" fillId="5" borderId="1" xfId="0" applyNumberFormat="1" applyFont="1" applyFill="1" applyBorder="1" applyAlignment="1"/>
    <xf numFmtId="0" fontId="0" fillId="11" borderId="1" xfId="0" applyFill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165" fontId="0" fillId="12" borderId="1" xfId="0" applyNumberFormat="1" applyFill="1" applyBorder="1"/>
    <xf numFmtId="0" fontId="3" fillId="5" borderId="1" xfId="0" applyFont="1" applyFill="1" applyBorder="1" applyAlignment="1">
      <alignment horizontal="center" vertical="top"/>
    </xf>
    <xf numFmtId="0" fontId="18" fillId="5" borderId="2" xfId="0" applyFont="1" applyFill="1" applyBorder="1" applyAlignment="1">
      <alignment horizontal="center" vertical="top"/>
    </xf>
    <xf numFmtId="164" fontId="0" fillId="5" borderId="0" xfId="0" applyNumberFormat="1" applyFill="1"/>
    <xf numFmtId="164" fontId="4" fillId="5" borderId="4" xfId="0" applyNumberFormat="1" applyFont="1" applyFill="1" applyBorder="1" applyAlignment="1"/>
    <xf numFmtId="0" fontId="0" fillId="5" borderId="0" xfId="0" applyFill="1"/>
    <xf numFmtId="0" fontId="17" fillId="1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top"/>
    </xf>
    <xf numFmtId="164" fontId="4" fillId="5" borderId="5" xfId="0" applyNumberFormat="1" applyFont="1" applyFill="1" applyBorder="1" applyAlignment="1"/>
    <xf numFmtId="0" fontId="18" fillId="12" borderId="2" xfId="0" applyFont="1" applyFill="1" applyBorder="1" applyAlignment="1">
      <alignment horizontal="center" vertical="top"/>
    </xf>
    <xf numFmtId="164" fontId="4" fillId="12" borderId="1" xfId="0" applyNumberFormat="1" applyFont="1" applyFill="1" applyBorder="1" applyAlignment="1"/>
    <xf numFmtId="164" fontId="4" fillId="12" borderId="4" xfId="0" applyNumberFormat="1" applyFont="1" applyFill="1" applyBorder="1" applyAlignment="1"/>
    <xf numFmtId="0" fontId="4" fillId="12" borderId="1" xfId="0" applyFont="1" applyFill="1" applyBorder="1" applyAlignment="1">
      <alignment horizontal="center" vertical="top"/>
    </xf>
    <xf numFmtId="164" fontId="4" fillId="12" borderId="5" xfId="0" applyNumberFormat="1" applyFont="1" applyFill="1" applyBorder="1" applyAlignment="1"/>
    <xf numFmtId="9" fontId="0" fillId="0" borderId="0" xfId="1" applyFont="1"/>
    <xf numFmtId="164" fontId="2" fillId="2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Border="1"/>
    <xf numFmtId="0" fontId="6" fillId="0" borderId="1" xfId="0" applyFont="1" applyFill="1" applyBorder="1" applyAlignment="1">
      <alignment horizontal="center" vertical="top"/>
    </xf>
    <xf numFmtId="164" fontId="0" fillId="9" borderId="1" xfId="0" applyNumberFormat="1" applyFill="1" applyBorder="1"/>
    <xf numFmtId="0" fontId="10" fillId="5" borderId="10" xfId="0" applyFont="1" applyFill="1" applyBorder="1" applyAlignment="1">
      <alignment horizontal="right" vertical="center"/>
    </xf>
    <xf numFmtId="0" fontId="12" fillId="0" borderId="11" xfId="0" applyFont="1" applyBorder="1" applyAlignment="1">
      <alignment horizontal="right" vertical="center"/>
    </xf>
    <xf numFmtId="0" fontId="12" fillId="10" borderId="11" xfId="0" applyFont="1" applyFill="1" applyBorder="1" applyAlignment="1">
      <alignment horizontal="right" vertical="center"/>
    </xf>
    <xf numFmtId="164" fontId="1" fillId="14" borderId="1" xfId="0" applyNumberFormat="1" applyFont="1" applyFill="1" applyBorder="1"/>
    <xf numFmtId="164" fontId="1" fillId="0" borderId="1" xfId="0" applyNumberFormat="1" applyFont="1" applyBorder="1"/>
    <xf numFmtId="0" fontId="23" fillId="5" borderId="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24" fillId="5" borderId="13" xfId="0" applyFont="1" applyFill="1" applyBorder="1" applyAlignment="1">
      <alignment wrapText="1"/>
    </xf>
    <xf numFmtId="164" fontId="0" fillId="0" borderId="14" xfId="0" applyNumberFormat="1" applyBorder="1" applyAlignment="1">
      <alignment horizontal="center"/>
    </xf>
    <xf numFmtId="0" fontId="25" fillId="0" borderId="0" xfId="0" applyFont="1" applyAlignment="1">
      <alignment wrapText="1"/>
    </xf>
    <xf numFmtId="0" fontId="24" fillId="5" borderId="14" xfId="0" applyFont="1" applyFill="1" applyBorder="1" applyAlignment="1">
      <alignment wrapText="1"/>
    </xf>
    <xf numFmtId="0" fontId="25" fillId="0" borderId="0" xfId="0" applyFont="1" applyBorder="1" applyAlignment="1">
      <alignment wrapText="1"/>
    </xf>
    <xf numFmtId="0" fontId="24" fillId="0" borderId="14" xfId="0" applyFont="1" applyBorder="1"/>
    <xf numFmtId="0" fontId="24" fillId="0" borderId="17" xfId="0" applyFont="1" applyBorder="1" applyAlignment="1">
      <alignment wrapText="1"/>
    </xf>
    <xf numFmtId="0" fontId="0" fillId="20" borderId="1" xfId="0" applyFont="1" applyFill="1" applyBorder="1" applyAlignment="1">
      <alignment horizontal="center" vertical="center"/>
    </xf>
    <xf numFmtId="0" fontId="20" fillId="20" borderId="1" xfId="0" applyFont="1" applyFill="1" applyBorder="1" applyAlignment="1">
      <alignment horizontal="center" vertical="center"/>
    </xf>
    <xf numFmtId="9" fontId="0" fillId="0" borderId="1" xfId="1" applyFont="1" applyBorder="1"/>
    <xf numFmtId="9" fontId="20" fillId="18" borderId="1" xfId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/>
    <xf numFmtId="0" fontId="26" fillId="3" borderId="1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top"/>
    </xf>
    <xf numFmtId="3" fontId="0" fillId="0" borderId="1" xfId="0" applyNumberFormat="1" applyBorder="1"/>
    <xf numFmtId="3" fontId="20" fillId="0" borderId="1" xfId="0" applyNumberFormat="1" applyFont="1" applyBorder="1"/>
    <xf numFmtId="1" fontId="0" fillId="0" borderId="1" xfId="0" applyNumberFormat="1" applyBorder="1" applyAlignment="1">
      <alignment horizontal="center"/>
    </xf>
    <xf numFmtId="0" fontId="20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24" fillId="5" borderId="15" xfId="0" applyFont="1" applyFill="1" applyBorder="1" applyAlignment="1">
      <alignment wrapText="1"/>
    </xf>
    <xf numFmtId="0" fontId="21" fillId="0" borderId="13" xfId="64" quotePrefix="1" applyBorder="1" applyAlignment="1">
      <alignment horizontal="center" wrapText="1"/>
    </xf>
    <xf numFmtId="0" fontId="1" fillId="0" borderId="1" xfId="0" applyFont="1" applyBorder="1"/>
    <xf numFmtId="0" fontId="1" fillId="11" borderId="0" xfId="0" applyFont="1" applyFill="1" applyBorder="1" applyAlignment="1">
      <alignment horizontal="center" vertical="center"/>
    </xf>
    <xf numFmtId="0" fontId="1" fillId="11" borderId="0" xfId="0" applyFont="1" applyFill="1" applyBorder="1" applyAlignment="1">
      <alignment horizontal="center" vertical="center" wrapText="1"/>
    </xf>
    <xf numFmtId="0" fontId="0" fillId="11" borderId="0" xfId="0" applyFill="1" applyBorder="1"/>
    <xf numFmtId="0" fontId="1" fillId="11" borderId="21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/>
    </xf>
    <xf numFmtId="164" fontId="0" fillId="5" borderId="23" xfId="0" applyNumberFormat="1" applyFill="1" applyBorder="1" applyAlignment="1">
      <alignment horizontal="right"/>
    </xf>
    <xf numFmtId="0" fontId="6" fillId="16" borderId="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5" fillId="7" borderId="5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4" fontId="5" fillId="17" borderId="3" xfId="0" applyNumberFormat="1" applyFont="1" applyFill="1" applyBorder="1" applyAlignment="1">
      <alignment horizontal="center" vertical="center"/>
    </xf>
    <xf numFmtId="0" fontId="4" fillId="12" borderId="4" xfId="0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 vertical="center"/>
    </xf>
    <xf numFmtId="0" fontId="5" fillId="15" borderId="0" xfId="0" applyFont="1" applyFill="1" applyBorder="1" applyAlignment="1">
      <alignment horizontal="center" vertical="center" wrapText="1"/>
    </xf>
    <xf numFmtId="0" fontId="5" fillId="15" borderId="21" xfId="0" applyFont="1" applyFill="1" applyBorder="1" applyAlignment="1">
      <alignment horizontal="center" vertical="center" wrapText="1"/>
    </xf>
    <xf numFmtId="0" fontId="5" fillId="15" borderId="16" xfId="0" applyFont="1" applyFill="1" applyBorder="1" applyAlignment="1">
      <alignment horizontal="center" vertical="center" wrapText="1"/>
    </xf>
    <xf numFmtId="0" fontId="5" fillId="15" borderId="22" xfId="0" applyFont="1" applyFill="1" applyBorder="1" applyAlignment="1">
      <alignment horizontal="center" vertical="center" wrapText="1"/>
    </xf>
    <xf numFmtId="0" fontId="24" fillId="13" borderId="19" xfId="0" applyFont="1" applyFill="1" applyBorder="1" applyAlignment="1">
      <alignment horizontal="center" wrapText="1"/>
    </xf>
    <xf numFmtId="0" fontId="24" fillId="13" borderId="18" xfId="0" applyFont="1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29" fillId="0" borderId="0" xfId="0" applyFont="1" applyAlignment="1">
      <alignment horizontal="center" wrapText="1"/>
    </xf>
    <xf numFmtId="0" fontId="5" fillId="19" borderId="0" xfId="0" applyFont="1" applyFill="1" applyAlignment="1">
      <alignment horizontal="center" vertical="center"/>
    </xf>
    <xf numFmtId="0" fontId="10" fillId="2" borderId="8" xfId="0" applyFont="1" applyFill="1" applyBorder="1" applyAlignment="1">
      <alignment vertical="center"/>
    </xf>
    <xf numFmtId="0" fontId="11" fillId="2" borderId="9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right" vertical="center"/>
    </xf>
    <xf numFmtId="0" fontId="10" fillId="5" borderId="8" xfId="0" applyFont="1" applyFill="1" applyBorder="1" applyAlignment="1">
      <alignment vertical="center"/>
    </xf>
    <xf numFmtId="0" fontId="11" fillId="5" borderId="9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right" vertical="center"/>
    </xf>
    <xf numFmtId="0" fontId="30" fillId="10" borderId="8" xfId="0" applyFont="1" applyFill="1" applyBorder="1" applyAlignment="1">
      <alignment vertical="center"/>
    </xf>
    <xf numFmtId="0" fontId="30" fillId="0" borderId="8" xfId="0" applyFont="1" applyBorder="1" applyAlignment="1">
      <alignment vertical="center"/>
    </xf>
    <xf numFmtId="0" fontId="30" fillId="5" borderId="8" xfId="0" applyFont="1" applyFill="1" applyBorder="1" applyAlignment="1">
      <alignment vertical="center"/>
    </xf>
    <xf numFmtId="0" fontId="0" fillId="5" borderId="1" xfId="0" applyFill="1" applyBorder="1"/>
    <xf numFmtId="3" fontId="0" fillId="5" borderId="1" xfId="0" applyNumberFormat="1" applyFill="1" applyBorder="1" applyAlignment="1">
      <alignment horizontal="center"/>
    </xf>
    <xf numFmtId="0" fontId="30" fillId="2" borderId="8" xfId="0" applyFont="1" applyFill="1" applyBorder="1" applyAlignment="1">
      <alignment vertical="center"/>
    </xf>
  </cellXfs>
  <cellStyles count="65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/>
    <cellStyle name="Normal" xfId="0" builtinId="0"/>
    <cellStyle name="Percent" xfId="1" builtinId="5"/>
  </cellStyles>
  <dxfs count="35">
    <dxf>
      <numFmt numFmtId="164" formatCode="#,##0.00\ &quot;€&quot;"/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font>
        <color theme="1"/>
      </font>
    </dxf>
    <dxf>
      <font>
        <color theme="1"/>
      </font>
    </dxf>
    <dxf>
      <alignment vertical="center"/>
    </dxf>
    <dxf>
      <alignment vertical="center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#,##0.00\ &quot;€&quot;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alignment horizontal="center"/>
    </dxf>
    <dxf>
      <alignment vertical="center"/>
    </dxf>
    <dxf>
      <alignment vertical="center"/>
    </dxf>
    <dxf>
      <font>
        <color theme="1"/>
      </font>
    </dxf>
    <dxf>
      <font>
        <color theme="1"/>
      </font>
    </dxf>
    <dxf>
      <fill>
        <patternFill patternType="solid">
          <bgColor theme="3" tint="0.39997558519241921"/>
        </patternFill>
      </fill>
    </dxf>
    <dxf>
      <fill>
        <patternFill patternType="solid">
          <bgColor theme="3" tint="0.39997558519241921"/>
        </patternFill>
      </fill>
    </dxf>
    <dxf>
      <numFmt numFmtId="164" formatCode="#,##0.00\ &quot;€&quot;"/>
    </dxf>
    <dxf>
      <numFmt numFmtId="164" formatCode="#,##0.00\ &quot;€&quot;"/>
    </dxf>
    <dxf>
      <numFmt numFmtId="164" formatCode="#,##0.00\ &quot;€&quot;"/>
    </dxf>
    <dxf>
      <numFmt numFmtId="164" formatCode="#,##0.00\ &quot;€&quot;"/>
    </dxf>
    <dxf>
      <numFmt numFmtId="164" formatCode="#,##0.00\ &quot;€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dagre" refreshedDate="44637.706365393518" createdVersion="7" refreshedVersion="7" minRefreshableVersion="3" recordCount="25" xr:uid="{00000000-000A-0000-FFFF-FFFF00000000}">
  <cacheSource type="worksheet">
    <worksheetSource ref="C3:M34" sheet="Sheet1"/>
  </cacheSource>
  <cacheFields count="15">
    <cacheField name="ΠΕΠ" numFmtId="0">
      <sharedItems count="11">
        <s v="ΒΟΡΕΙΟΥ ΑΙΓΑΙΟΥ"/>
        <s v="ΚΕΝΤΡΙΚΗΣ ΜΑΚΕΔΟΝΙΑΣ"/>
        <s v="ΔΥΤΙΚΗΣ ΜΑΚΕΔΟΝΙΑΣ"/>
        <s v="ΗΠΕΙΡΟΥ"/>
        <s v="ΔΥΤΙΚΗΣ ΕΛΛΑΔΑΣ"/>
        <s v="ΘΕΣΣΑΛΙΑΣ"/>
        <s v="ΑΤΤΙΚΗΣ "/>
        <s v="ΚΡΗΤΗΣ"/>
        <s v="ΙΟΝΙΩΝ ΝΗΣΩΝ"/>
        <s v="ΠΕΛΟΠΟΝΝΗΣΟΥ"/>
        <s v="ΑΝΑΤ. ΜΑΚ ΘΡΑΚΗ"/>
      </sharedItems>
    </cacheField>
    <cacheField name="ΠΕΡΙΦΕΡΕΙΑ" numFmtId="0">
      <sharedItems/>
    </cacheField>
    <cacheField name="ΕΝΤΑΞΗ" numFmtId="4">
      <sharedItems containsSemiMixedTypes="0" containsString="0" containsNumber="1" minValue="261375.12" maxValue="1765407"/>
    </cacheField>
    <cacheField name="Αίτημα παράτασης έως 31/8/2023" numFmtId="164">
      <sharedItems containsSemiMixedTypes="0" containsString="0" containsNumber="1" minValue="0" maxValue="280212"/>
    </cacheField>
    <cacheField name="ΕΝΤΑΞΗ+ΑΙΤΗΜΑ" numFmtId="164">
      <sharedItems containsSemiMixedTypes="0" containsString="0" containsNumber="1" minValue="261375.12" maxValue="1765407"/>
    </cacheField>
    <cacheField name="ΑΝΑ ΜΗΝΑ" numFmtId="164">
      <sharedItems containsSemiMixedTypes="0" containsString="0" containsNumber="1" minValue="5943.4365625" maxValue="30128.30909090909"/>
    </cacheField>
    <cacheField name="ΕΤΟΣ" numFmtId="164">
      <sharedItems containsSemiMixedTypes="0" containsString="0" containsNumber="1" minValue="71321.238750000004" maxValue="361539.70909090911"/>
    </cacheField>
    <cacheField name="Στέλεχος Μονάδας Προσβασιμότητας" numFmtId="164">
      <sharedItems containsSemiMixedTypes="0" containsString="0" containsNumber="1" containsInteger="1" minValue="144000" maxValue="144000"/>
    </cacheField>
    <cacheField name="Εκπαιδευτής Ενηλίκων για ενημέρωση/ επιμόρφωση" numFmtId="164">
      <sharedItems containsSemiMixedTypes="0" containsString="0" containsNumber="1" containsInteger="1" minValue="90000" maxValue="90000"/>
    </cacheField>
    <cacheField name="Expert βιβλιοθήκης (IT)" numFmtId="164">
      <sharedItems containsSemiMixedTypes="0" containsString="0" containsNumber="1" containsInteger="1" minValue="162000" maxValue="486000"/>
    </cacheField>
    <cacheField name="Διερμηνέας" numFmtId="164">
      <sharedItems containsSemiMixedTypes="0" containsString="0" containsNumber="1" containsInteger="1" minValue="135000" maxValue="5805000"/>
    </cacheField>
    <cacheField name="Διερμηνέας2" numFmtId="164">
      <sharedItems containsSemiMixedTypes="0" containsString="0" containsNumber="1" containsInteger="1" minValue="33750" maxValue="1451250"/>
    </cacheField>
    <cacheField name="Ενέργειες Δημοσιότητας" numFmtId="164">
      <sharedItems containsSemiMixedTypes="0" containsString="0" containsNumber="1" containsInteger="1" minValue="10000" maxValue="10000"/>
    </cacheField>
    <cacheField name="Μετακίνηση φΜΕΑ (από και προς το Πανεπιστήμιο)" numFmtId="164">
      <sharedItems containsSemiMixedTypes="0" containsString="0" containsNumber="1" containsInteger="1" minValue="11000" maxValue="2475000"/>
    </cacheField>
    <cacheField name="ΣΥΝΟΛΟ" numFmtId="164">
      <sharedItems containsSemiMixedTypes="0" containsString="0" containsNumber="1" containsInteger="1" minValue="563000" maxValue="847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dagre" refreshedDate="44637.721956134257" createdVersion="7" refreshedVersion="7" minRefreshableVersion="3" recordCount="30" xr:uid="{00000000-000A-0000-FFFF-FFFF01000000}">
  <cacheSource type="worksheet">
    <worksheetSource ref="B3:M34" sheet="Sheet1"/>
  </cacheSource>
  <cacheFields count="22">
    <cacheField name="ΙΔΡΥΜΑ" numFmtId="0">
      <sharedItems containsBlank="1"/>
    </cacheField>
    <cacheField name="ΕΝΤΑΞΗ" numFmtId="4">
      <sharedItems containsString="0" containsBlank="1" containsNumber="1" minValue="261375.12" maxValue="1765407"/>
    </cacheField>
    <cacheField name="ΝΕΟΣ Π/Υ" numFmtId="4">
      <sharedItems containsString="0" containsBlank="1" containsNumber="1" minValue="261375.12" maxValue="1765407"/>
    </cacheField>
    <cacheField name="ΕΝΑΡΞΗ" numFmtId="14">
      <sharedItems containsNonDate="0" containsDate="1" containsString="0" containsBlank="1" minDate="2017-10-01T00:00:00" maxDate="2020-09-02T00:00:00"/>
    </cacheField>
    <cacheField name="ΛΗΞΗ ΚΑΤΟΠΙΝ ΠΑΡΑΤΑΣΗΣ" numFmtId="14">
      <sharedItems containsNonDate="0" containsDate="1" containsString="0" containsBlank="1" minDate="2023-08-31T00:00:00" maxDate="2023-10-01T00:00:00"/>
    </cacheField>
    <cacheField name="ΑΡΧΙΚΗ ΛΗΞΗ" numFmtId="14">
      <sharedItems containsNonDate="0" containsDate="1" containsString="0" containsBlank="1" minDate="2022-06-30T00:00:00" maxDate="2023-10-01T00:00:00"/>
    </cacheField>
    <cacheField name="ΔΙΑΡΚΕΙΑ" numFmtId="0">
      <sharedItems containsString="0" containsBlank="1" containsNumber="1" containsInteger="1" minValue="35" maxValue="70"/>
    </cacheField>
    <cacheField name="ΠΕΠ" numFmtId="0">
      <sharedItems count="13">
        <s v="ΒΟΡΕΙΟΥ ΑΙΓΑΙΟΥ"/>
        <s v="ΝΟΤΙΟΥ ΑΙΓΑΙΟΥ"/>
        <s v="ΚΕΝΤΡΙΚΗΣ ΜΑΚΕΔΟΝΙΑΣ"/>
        <s v="ΑΝΑΤ. ΜΑΚ ΘΡΑΚΗ"/>
        <s v="ΔΥΤΙΚΗΣ ΜΑΚΕΔΟΝΙΑΣ"/>
        <s v="ΗΠΕΙΡΟΥ"/>
        <s v="ΔΥΤΙΚΗΣ ΕΛΛΑΔΑΣ"/>
        <s v="ΘΕΣΣΑΛΙΑΣ"/>
        <s v="ΣΤΕΡΕΑΣ ΕΛΛΑΔΟΣ"/>
        <s v="ΑΤΤΙΚΗΣ "/>
        <s v="ΚΡΗΤΗΣ"/>
        <s v="ΙΟΝΙΩΝ ΝΗΣΩΝ"/>
        <s v="ΠΕΛΟΠΟΝΝΗΣΟΥ"/>
      </sharedItems>
    </cacheField>
    <cacheField name="ΠΕΡΙΦΕΡΕΙΑ" numFmtId="0">
      <sharedItems containsBlank="1"/>
    </cacheField>
    <cacheField name="ΕΝΤΑΞΗ2" numFmtId="4">
      <sharedItems containsString="0" containsBlank="1" containsNumber="1" minValue="261375.12" maxValue="1765407"/>
    </cacheField>
    <cacheField name="Αίτημα παράτασης έως 31/8/2023" numFmtId="164">
      <sharedItems containsString="0" containsBlank="1" containsNumber="1" minValue="0" maxValue="280212"/>
    </cacheField>
    <cacheField name="ΕΝΤΑΞΗ+ΑΙΤΗΜΑ" numFmtId="164">
      <sharedItems containsString="0" containsBlank="1" containsNumber="1" minValue="261375.12" maxValue="1765407"/>
    </cacheField>
    <cacheField name="ΑΝΑ ΜΗΝΑ" numFmtId="164">
      <sharedItems containsString="0" containsBlank="1" containsNumber="1" minValue="5943.4365625" maxValue="30128.30909090909"/>
    </cacheField>
    <cacheField name="ΕΤΟΣ" numFmtId="164">
      <sharedItems containsString="0" containsBlank="1" containsNumber="1" minValue="71321.238750000004" maxValue="361539.70909090911"/>
    </cacheField>
    <cacheField name="Στέλεχος Μονάδας Προσβασιμότητας" numFmtId="164">
      <sharedItems containsString="0" containsBlank="1" containsNumber="1" containsInteger="1" minValue="144000" maxValue="144000"/>
    </cacheField>
    <cacheField name="Εκπαιδευτής Ενηλίκων για ενημέρωση/ επιμόρφωση" numFmtId="164">
      <sharedItems containsString="0" containsBlank="1" containsNumber="1" containsInteger="1" minValue="90000" maxValue="90000"/>
    </cacheField>
    <cacheField name="Expert βιβλιοθήκης (IT)" numFmtId="164">
      <sharedItems containsString="0" containsBlank="1" containsNumber="1" containsInteger="1" minValue="162000" maxValue="486000"/>
    </cacheField>
    <cacheField name="Διερμηνέας" numFmtId="164">
      <sharedItems containsString="0" containsBlank="1" containsNumber="1" containsInteger="1" minValue="135000" maxValue="5805000"/>
    </cacheField>
    <cacheField name="Διερμηνέας2" numFmtId="164">
      <sharedItems containsString="0" containsBlank="1" containsNumber="1" containsInteger="1" minValue="33750" maxValue="1451250"/>
    </cacheField>
    <cacheField name="Ενέργειες Δημοσιότητας" numFmtId="164">
      <sharedItems containsString="0" containsBlank="1" containsNumber="1" containsInteger="1" minValue="10000" maxValue="10000"/>
    </cacheField>
    <cacheField name="Μετακίνηση φΜΕΑ (από και προς το Πανεπιστήμιο)" numFmtId="164">
      <sharedItems containsString="0" containsBlank="1" containsNumber="1" containsInteger="1" minValue="11000" maxValue="2475000"/>
    </cacheField>
    <cacheField name="ΣΥΝΟΛΟ" numFmtId="164">
      <sharedItems containsSemiMixedTypes="0" containsString="0" containsNumber="1" containsInteger="1" minValue="160540" maxValue="803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dagre" refreshedDate="44641.516018055554" createdVersion="7" refreshedVersion="7" minRefreshableVersion="3" recordCount="30" xr:uid="{00000000-000A-0000-FFFF-FFFF02000000}">
  <cacheSource type="worksheet">
    <worksheetSource ref="B3:M34" sheet="Sheet1"/>
  </cacheSource>
  <cacheFields count="11">
    <cacheField name="ΙΔΡΥΜΑ" numFmtId="0">
      <sharedItems containsBlank="1"/>
    </cacheField>
    <cacheField name="ΠΕΠ" numFmtId="0">
      <sharedItems count="13">
        <s v="ΒΟΡΕΙΟΥ ΑΙΓΑΙΟΥ"/>
        <s v="ΝΟΤΙΟΥ ΑΙΓΑΙΟΥ"/>
        <s v="ΚΕΝΤΡΙΚΗΣ ΜΑΚΕΔΟΝΙΑΣ"/>
        <s v="ΑΝΑΤ. ΜΑΚ ΘΡΑΚΗΣ"/>
        <s v="ΔΥΤΙΚΗΣ ΜΑΚΕΔΟΝΙΑΣ"/>
        <s v="ΗΠΕΙΡΟΥ"/>
        <s v="ΔΥΤΙΚΗΣ ΕΛΛΑΔΑΣ"/>
        <s v="ΘΕΣΣΑΛΙΑΣ"/>
        <s v="ΣΤΕΡΕΑΣ ΕΛΛΑΔΟΣ"/>
        <s v="ΑΤΤΙΚΗΣ "/>
        <s v="ΚΡΗΤΗΣ"/>
        <s v="ΙΟΝΙΩΝ ΝΗΣΩΝ"/>
        <s v="ΠΕΛΟΠΟΝΝΗΣΟΥ"/>
      </sharedItems>
    </cacheField>
    <cacheField name="Στελέχη Μονάδας Προσβασιμότητας Γενικής Υποστήριξης" numFmtId="164">
      <sharedItems containsSemiMixedTypes="0" containsString="0" containsNumber="1" containsInteger="1" minValue="129600" maxValue="129600"/>
    </cacheField>
    <cacheField name="Στελέχη Κατάρτισης και υποστήριξης προσωπικού" numFmtId="164">
      <sharedItems containsString="0" containsBlank="1" containsNumber="1" containsInteger="1" minValue="129600" maxValue="129600"/>
    </cacheField>
    <cacheField name="Στελέχη Ηλεκτρονικής Προσβασιμότητας" numFmtId="164">
      <sharedItems containsString="0" containsBlank="1" containsNumber="1" containsInteger="1" minValue="33120" maxValue="432000"/>
    </cacheField>
    <cacheField name="Στελέχη Διερμηνείας " numFmtId="164">
      <sharedItems containsString="0" containsBlank="1" containsNumber="1" containsInteger="1" minValue="27945" maxValue="3442500"/>
    </cacheField>
    <cacheField name="Ενέργειες Δημοσιότητας" numFmtId="164">
      <sharedItems containsString="0" containsBlank="1" containsNumber="1" containsInteger="1" minValue="10000" maxValue="10000"/>
    </cacheField>
    <cacheField name="Μετακίνηση ΦμεΑ (από και προς το Πανεπιστήμιο)" numFmtId="164">
      <sharedItems containsString="0" containsBlank="1" containsNumber="1" containsInteger="1" minValue="11000" maxValue="440000"/>
    </cacheField>
    <cacheField name="Λειτουργικές ανάγκες" numFmtId="164">
      <sharedItems containsSemiMixedTypes="0" containsString="0" containsNumber="1" minValue="3210.8" maxValue="160620"/>
    </cacheField>
    <cacheField name="Έμμεσες Δαπάνες" numFmtId="164">
      <sharedItems containsSemiMixedTypes="0" containsString="0" containsNumber="1" minValue="10368" maxValue="365896"/>
    </cacheField>
    <cacheField name="ΣΥΝΟΛΟ" numFmtId="164">
      <sharedItems containsSemiMixedTypes="0" containsString="0" containsNumber="1" minValue="143178.79999999999" maxValue="5110216" count="30">
        <n v="577454"/>
        <n v="225850"/>
        <n v="1055896"/>
        <n v="303128"/>
        <n v="867256"/>
        <n v="1226536"/>
        <n v="673736"/>
        <n v="1633683.2"/>
        <n v="303260.79999999999"/>
        <n v="1200376"/>
        <n v="740876"/>
        <n v="758356"/>
        <n v="993376"/>
        <n v="2018896"/>
        <n v="957256"/>
        <n v="936556"/>
        <n v="964056"/>
        <n v="1908656"/>
        <n v="675556"/>
        <n v="611185.19999999995"/>
        <n v="143178.79999999999"/>
        <n v="612776"/>
        <n v="1069956"/>
        <n v="961916"/>
        <n v="611696"/>
        <n v="4655328"/>
        <n v="533544"/>
        <n v="835136"/>
        <n v="660096"/>
        <n v="5110216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dagre" refreshedDate="44642.603040277776" createdVersion="7" refreshedVersion="7" minRefreshableVersion="3" recordCount="31" xr:uid="{00000000-000A-0000-FFFF-FFFF03000000}">
  <cacheSource type="worksheet">
    <worksheetSource ref="A3:M34" sheet="Sheet1"/>
  </cacheSource>
  <cacheFields count="13">
    <cacheField name="Α/Α" numFmtId="0">
      <sharedItems containsString="0" containsBlank="1" containsNumber="1" containsInteger="1" minValue="1" maxValue="25"/>
    </cacheField>
    <cacheField name="ΙΔΡΥΜΑ" numFmtId="0">
      <sharedItems containsBlank="1"/>
    </cacheField>
    <cacheField name="ΠΕΠ" numFmtId="0">
      <sharedItems count="13">
        <s v="ΒΟΡΕΙΟΥ ΑΙΓΑΙΟΥ"/>
        <s v="ΝΟΤΙΟΥ ΑΙΓΑΙΟΥ"/>
        <s v="ΚΕΝΤΡΙΚΗΣ ΜΑΚΕΔΟΝΙΑΣ"/>
        <s v="ΑΝΑΤ. ΜΑΚ ΘΡΑΚΗΣ"/>
        <s v="ΔΥΤΙΚΗΣ ΜΑΚΕΔΟΝΙΑΣ"/>
        <s v="ΗΠΕΙΡΟΥ"/>
        <s v="ΔΥΤΙΚΗΣ ΕΛΛΑΔΑΣ"/>
        <s v="ΘΕΣΣΑΛΙΑΣ"/>
        <s v="ΣΤΕΡΕΑΣ ΕΛΛΑΔΟΣ"/>
        <s v="ΑΤΤΙΚΗΣ "/>
        <s v="ΚΡΗΤΗΣ"/>
        <s v="ΙΟΝΙΩΝ ΝΗΣΩΝ"/>
        <s v="ΠΕΛΟΠΟΝΝΗΣΟΥ"/>
      </sharedItems>
    </cacheField>
    <cacheField name="Στελέχη Μονάδας Προσβασιμότητας Γενικής Υποστήριξης" numFmtId="164">
      <sharedItems containsSemiMixedTypes="0" containsString="0" containsNumber="1" containsInteger="1" minValue="129600" maxValue="129600"/>
    </cacheField>
    <cacheField name="Στελέχη Κατάρτισης και υποστήριξης προσωπικού" numFmtId="164">
      <sharedItems containsSemiMixedTypes="0" containsString="0" containsNumber="1" containsInteger="1" minValue="129600" maxValue="129600"/>
    </cacheField>
    <cacheField name="Στελέχη Ηλεκτρονικής Προσβασιμότητας" numFmtId="164">
      <sharedItems containsSemiMixedTypes="0" containsString="0" containsNumber="1" containsInteger="1" minValue="144000" maxValue="432000"/>
    </cacheField>
    <cacheField name="Στελέχη Διερμηνείας " numFmtId="164">
      <sharedItems containsSemiMixedTypes="0" containsString="0" containsNumber="1" containsInteger="1" minValue="121500" maxValue="3402000"/>
    </cacheField>
    <cacheField name="Ενέργειες Δημοσιότητας" numFmtId="164">
      <sharedItems containsSemiMixedTypes="0" containsString="0" containsNumber="1" containsInteger="1" minValue="10000" maxValue="30000"/>
    </cacheField>
    <cacheField name="Μετακίνηση ΦμεΑ (από και προς το Πανεπιστήμιο)" numFmtId="164">
      <sharedItems containsSemiMixedTypes="0" containsString="0" containsNumber="1" containsInteger="1" minValue="11000" maxValue="440000"/>
    </cacheField>
    <cacheField name="Στελέχη Παραγωγής Προσβάσιμων Συγγραμμάτων" numFmtId="164">
      <sharedItems containsSemiMixedTypes="0" containsString="0" containsNumber="1" containsInteger="1" minValue="129600" maxValue="777600"/>
    </cacheField>
    <cacheField name="Λειτουργικές ανάγκες" numFmtId="164">
      <sharedItems containsSemiMixedTypes="0" containsString="0" containsNumber="1" minValue="21855.72" maxValue="172969.92"/>
    </cacheField>
    <cacheField name="Έμμεσες Δαπάνες" numFmtId="164">
      <sharedItems containsSemiMixedTypes="0" containsString="0" containsNumber="1" containsInteger="1" minValue="53224" maxValue="424864"/>
    </cacheField>
    <cacheField name="ΣΥΝΟΛΟ" numFmtId="164">
      <sharedItems containsSemiMixedTypes="0" containsString="0" containsNumber="1" minValue="750379.72" maxValue="5938633.9199999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  <s v="ΜΕΤ"/>
    <n v="655406"/>
    <n v="50769.599999999999"/>
    <n v="706175.6"/>
    <n v="11576.649180327868"/>
    <n v="138919.79016393441"/>
    <n v="144000"/>
    <n v="90000"/>
    <n v="324000"/>
    <n v="135000"/>
    <n v="33750"/>
    <n v="10000"/>
    <n v="66000"/>
    <n v="769000"/>
  </r>
  <r>
    <x v="1"/>
    <s v="ΛΑΠ"/>
    <n v="1639435"/>
    <n v="0"/>
    <n v="1639435"/>
    <n v="27323.916666666668"/>
    <n v="327887"/>
    <n v="144000"/>
    <n v="90000"/>
    <n v="486000"/>
    <n v="270000"/>
    <n v="67500"/>
    <n v="10000"/>
    <n v="528000"/>
    <n v="1528000"/>
  </r>
  <r>
    <x v="2"/>
    <s v="ΜΕΤ"/>
    <n v="891000"/>
    <n v="0"/>
    <n v="891000"/>
    <n v="21214.285714285714"/>
    <n v="254571.42857142858"/>
    <n v="144000"/>
    <n v="90000"/>
    <n v="324000"/>
    <n v="135000"/>
    <n v="33750"/>
    <n v="10000"/>
    <n v="110000"/>
    <n v="813000"/>
  </r>
  <r>
    <x v="3"/>
    <s v="ΛΑΠ"/>
    <n v="1250010"/>
    <n v="71968.72"/>
    <n v="1321978.72"/>
    <n v="18885.410285714286"/>
    <n v="226624.92342857143"/>
    <n v="144000"/>
    <n v="90000"/>
    <n v="324000"/>
    <n v="675000"/>
    <n v="168750"/>
    <n v="10000"/>
    <n v="308000"/>
    <n v="1551000"/>
  </r>
  <r>
    <x v="4"/>
    <s v="ΛΑΠ"/>
    <n v="261375.12"/>
    <n v="0"/>
    <n v="261375.12"/>
    <n v="7467.8605714285713"/>
    <n v="89614.326857142849"/>
    <n v="144000"/>
    <n v="90000"/>
    <n v="162000"/>
    <n v="135000"/>
    <n v="33750"/>
    <n v="10000"/>
    <n v="154000"/>
    <n v="695000"/>
  </r>
  <r>
    <x v="5"/>
    <s v="ΛΑΠ"/>
    <n v="1657057"/>
    <n v="0"/>
    <n v="1657057"/>
    <n v="30128.30909090909"/>
    <n v="361539.70909090911"/>
    <n v="144000"/>
    <n v="90000"/>
    <n v="486000"/>
    <n v="1485000"/>
    <n v="371250"/>
    <n v="10000"/>
    <n v="561000"/>
    <n v="2776000"/>
  </r>
  <r>
    <x v="6"/>
    <s v="ΠΑΠ"/>
    <n v="442181"/>
    <n v="111423.4"/>
    <n v="553604.4"/>
    <n v="8787.3714285714286"/>
    <n v="105448.45714285714"/>
    <n v="144000"/>
    <n v="90000"/>
    <n v="324000"/>
    <n v="540000"/>
    <n v="135000"/>
    <n v="10000"/>
    <n v="539000"/>
    <n v="1647000"/>
  </r>
  <r>
    <x v="7"/>
    <s v="ΜΕΤ"/>
    <n v="291666.7"/>
    <n v="0"/>
    <n v="291666.7"/>
    <n v="7478.6333333333332"/>
    <n v="89743.6"/>
    <n v="144000"/>
    <n v="90000"/>
    <n v="162000"/>
    <n v="405000"/>
    <n v="101250"/>
    <n v="10000"/>
    <n v="55000"/>
    <n v="866000"/>
  </r>
  <r>
    <x v="8"/>
    <s v="ΜΕΤ"/>
    <n v="700000"/>
    <n v="0"/>
    <n v="700000"/>
    <n v="11111.111111111111"/>
    <n v="133333.33333333334"/>
    <n v="144000"/>
    <n v="90000"/>
    <n v="324000"/>
    <n v="135000"/>
    <n v="33750"/>
    <n v="10000"/>
    <n v="11000"/>
    <n v="714000"/>
  </r>
  <r>
    <x v="9"/>
    <s v="ΜΕΤ"/>
    <n v="506034"/>
    <n v="0"/>
    <n v="506034"/>
    <n v="12048.428571428571"/>
    <n v="144581.14285714284"/>
    <n v="144000"/>
    <n v="90000"/>
    <n v="324000"/>
    <n v="270000"/>
    <n v="67500"/>
    <n v="10000"/>
    <n v="341000"/>
    <n v="1179000"/>
  </r>
  <r>
    <x v="6"/>
    <s v="ΠΑΠ"/>
    <n v="892589"/>
    <n v="0"/>
    <n v="892589"/>
    <n v="18991.255319148935"/>
    <n v="227895.06382978722"/>
    <n v="144000"/>
    <n v="90000"/>
    <n v="486000"/>
    <n v="1890000"/>
    <n v="472500"/>
    <n v="10000"/>
    <n v="1100000"/>
    <n v="3720000"/>
  </r>
  <r>
    <x v="10"/>
    <s v="ΛΑΠ"/>
    <n v="1100000"/>
    <n v="280212"/>
    <n v="1380212"/>
    <n v="21234.030769230769"/>
    <n v="254808.36923076923"/>
    <n v="144000"/>
    <n v="90000"/>
    <n v="324000"/>
    <n v="405000"/>
    <n v="101250"/>
    <n v="10000"/>
    <n v="209000"/>
    <n v="1182000"/>
  </r>
  <r>
    <x v="4"/>
    <s v="ΛΑΠ"/>
    <n v="1765407"/>
    <n v="0"/>
    <n v="1765407"/>
    <n v="28022.333333333332"/>
    <n v="336268"/>
    <n v="144000"/>
    <n v="90000"/>
    <n v="486000"/>
    <n v="270000"/>
    <n v="67500"/>
    <n v="10000"/>
    <n v="308000"/>
    <n v="1308000"/>
  </r>
  <r>
    <x v="7"/>
    <s v="ΜΕΤ"/>
    <n v="612459"/>
    <n v="138640"/>
    <n v="751099"/>
    <n v="12730.491525423729"/>
    <n v="152765.89830508476"/>
    <n v="144000"/>
    <n v="90000"/>
    <n v="324000"/>
    <n v="135000"/>
    <n v="33750"/>
    <n v="10000"/>
    <n v="198000"/>
    <n v="901000"/>
  </r>
  <r>
    <x v="6"/>
    <s v="ΠΑΠ"/>
    <n v="404595.68"/>
    <n v="73558.5"/>
    <n v="478154.18"/>
    <n v="7136.6295522388054"/>
    <n v="85639.554626865662"/>
    <n v="144000"/>
    <n v="90000"/>
    <n v="162000"/>
    <n v="1755000"/>
    <n v="438750"/>
    <n v="10000"/>
    <n v="1474000"/>
    <n v="3635000"/>
  </r>
  <r>
    <x v="6"/>
    <s v="ΠΑΠ"/>
    <n v="350000"/>
    <n v="30379.94"/>
    <n v="380379.94"/>
    <n v="5943.4365625"/>
    <n v="71321.238750000004"/>
    <n v="144000"/>
    <n v="90000"/>
    <n v="162000"/>
    <n v="270000"/>
    <n v="67500"/>
    <n v="10000"/>
    <n v="110000"/>
    <n v="786000"/>
  </r>
  <r>
    <x v="6"/>
    <s v="ΠΑΠ"/>
    <n v="570000"/>
    <n v="100248.03"/>
    <n v="670248.03"/>
    <n v="10003.701940298508"/>
    <n v="120044.42328358209"/>
    <n v="144000"/>
    <n v="90000"/>
    <n v="162000"/>
    <n v="270000"/>
    <n v="67500"/>
    <n v="10000"/>
    <n v="22000"/>
    <n v="698000"/>
  </r>
  <r>
    <x v="6"/>
    <s v="ΠΑΠ"/>
    <n v="350000"/>
    <n v="41430"/>
    <n v="391430"/>
    <n v="6022"/>
    <n v="72264"/>
    <n v="144000"/>
    <n v="90000"/>
    <n v="162000"/>
    <n v="270000"/>
    <n v="67500"/>
    <n v="10000"/>
    <n v="22000"/>
    <n v="698000"/>
  </r>
  <r>
    <x v="6"/>
    <s v="ΠΑΠ"/>
    <n v="389792"/>
    <n v="64441.599999999999"/>
    <n v="454233.59999999998"/>
    <n v="6779.6059701492532"/>
    <n v="81355.271641791041"/>
    <n v="144000"/>
    <n v="90000"/>
    <n v="162000"/>
    <n v="675000"/>
    <n v="168750"/>
    <n v="10000"/>
    <n v="363000"/>
    <n v="1444000"/>
  </r>
  <r>
    <x v="1"/>
    <s v="ΛΑΠ"/>
    <n v="598486"/>
    <n v="0"/>
    <n v="598486"/>
    <n v="8673.710144927536"/>
    <n v="104084.52173913043"/>
    <n v="144000"/>
    <n v="90000"/>
    <n v="162000"/>
    <n v="540000"/>
    <n v="135000"/>
    <n v="10000"/>
    <n v="253000"/>
    <n v="1199000"/>
  </r>
  <r>
    <x v="6"/>
    <s v="ΠΑΠ"/>
    <n v="350000"/>
    <n v="92020"/>
    <n v="442020"/>
    <n v="6500.2941176470586"/>
    <n v="78003.529411764699"/>
    <n v="144000"/>
    <n v="90000"/>
    <n v="162000"/>
    <n v="135000"/>
    <n v="33750"/>
    <n v="10000"/>
    <n v="22000"/>
    <n v="563000"/>
  </r>
  <r>
    <x v="6"/>
    <s v="ΠΑΠ"/>
    <n v="1650000"/>
    <n v="0"/>
    <n v="1650000"/>
    <n v="24264.705882352941"/>
    <n v="291176.4705882353"/>
    <n v="144000"/>
    <n v="90000"/>
    <n v="486000"/>
    <n v="5265000"/>
    <n v="1316250"/>
    <n v="10000"/>
    <n v="2475000"/>
    <n v="8470000"/>
  </r>
  <r>
    <x v="7"/>
    <s v="ΜΕΤ"/>
    <n v="745955.2"/>
    <n v="137465"/>
    <n v="883420.2"/>
    <n v="14022.542857142857"/>
    <n v="168270.51428571428"/>
    <n v="144000"/>
    <n v="90000"/>
    <n v="324000"/>
    <n v="135000"/>
    <n v="33750"/>
    <n v="10000"/>
    <n v="286000"/>
    <n v="989000"/>
  </r>
  <r>
    <x v="6"/>
    <s v="ΠΑΠ"/>
    <n v="471452"/>
    <n v="133027.38"/>
    <n v="604479.38"/>
    <n v="9444.9903125000001"/>
    <n v="113339.88375000001"/>
    <n v="144000"/>
    <n v="90000"/>
    <n v="162000"/>
    <n v="135000"/>
    <n v="33750"/>
    <n v="10000"/>
    <n v="66000"/>
    <n v="607000"/>
  </r>
  <r>
    <x v="1"/>
    <s v="ΛΑΠ"/>
    <n v="1100000"/>
    <n v="152355"/>
    <n v="1252355"/>
    <n v="21971.140350877195"/>
    <n v="263653.68421052635"/>
    <n v="144000"/>
    <n v="90000"/>
    <n v="486000"/>
    <n v="5805000"/>
    <n v="1451250"/>
    <n v="10000"/>
    <n v="1496000"/>
    <n v="8031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s v="ΠΑΝΕΠΙΣΤΗΜΙΟ ΑΙΓΑΙΟΥ"/>
    <n v="655406"/>
    <n v="824975.6"/>
    <d v="2018-07-01T00:00:00"/>
    <d v="2023-08-31T00:00:00"/>
    <d v="2022-06-30T00:00:00"/>
    <n v="61"/>
    <x v="0"/>
    <s v="ΜΕΤ"/>
    <n v="655406"/>
    <n v="50769.599999999999"/>
    <n v="706175.6"/>
    <n v="11576.649180327868"/>
    <n v="138919.79016393441"/>
    <n v="144000"/>
    <n v="90000"/>
    <n v="324000"/>
    <n v="135000"/>
    <n v="33750"/>
    <n v="10000"/>
    <n v="66000"/>
    <n v="592130"/>
  </r>
  <r>
    <m/>
    <m/>
    <m/>
    <m/>
    <m/>
    <m/>
    <m/>
    <x v="1"/>
    <m/>
    <m/>
    <m/>
    <m/>
    <m/>
    <m/>
    <m/>
    <m/>
    <m/>
    <m/>
    <m/>
    <m/>
    <m/>
    <n v="176870"/>
  </r>
  <r>
    <s v="ΔΙΕΘΝΕΣ ΠΑΝ. ΕΛΛΑΔΟΣ"/>
    <n v="1639435"/>
    <n v="1639435"/>
    <d v="2018-09-30T00:00:00"/>
    <d v="2023-09-30T00:00:00"/>
    <d v="2023-09-30T00:00:00"/>
    <n v="60"/>
    <x v="2"/>
    <s v="ΛΑΠ"/>
    <n v="1639435"/>
    <n v="0"/>
    <n v="1639435"/>
    <n v="27323.916666666668"/>
    <n v="327887"/>
    <n v="144000"/>
    <n v="90000"/>
    <n v="486000"/>
    <n v="270000"/>
    <n v="67500"/>
    <n v="10000"/>
    <n v="528000"/>
    <n v="1146000"/>
  </r>
  <r>
    <m/>
    <m/>
    <m/>
    <m/>
    <m/>
    <m/>
    <m/>
    <x v="3"/>
    <m/>
    <m/>
    <m/>
    <m/>
    <m/>
    <m/>
    <m/>
    <m/>
    <m/>
    <m/>
    <m/>
    <m/>
    <m/>
    <n v="382000"/>
  </r>
  <r>
    <s v="ΠΑΝ. ΔΥΤΙΚΗΣ ΜΑΚΕΔΟΝΙΑΣ"/>
    <n v="891000"/>
    <n v="891000"/>
    <d v="2020-02-10T00:00:00"/>
    <d v="2023-08-31T00:00:00"/>
    <d v="2023-07-31T00:00:00"/>
    <n v="42"/>
    <x v="4"/>
    <s v="ΜΕΤ"/>
    <n v="891000"/>
    <n v="0"/>
    <n v="891000"/>
    <n v="21214.285714285714"/>
    <n v="254571.42857142858"/>
    <n v="144000"/>
    <n v="90000"/>
    <n v="324000"/>
    <n v="135000"/>
    <n v="33750"/>
    <n v="10000"/>
    <n v="110000"/>
    <n v="813000"/>
  </r>
  <r>
    <s v="ΠΑΝ. ΙΩΑΝΝΙΝΩΝ"/>
    <n v="1250010"/>
    <n v="1321978.72"/>
    <d v="2017-10-01T00:00:00"/>
    <d v="2023-08-31T00:00:00"/>
    <d v="2022-09-02T00:00:00"/>
    <n v="70"/>
    <x v="5"/>
    <s v="ΛΑΠ"/>
    <n v="1250010"/>
    <n v="71968.72"/>
    <n v="1321978.72"/>
    <n v="18885.410285714286"/>
    <n v="226624.92342857143"/>
    <n v="144000"/>
    <n v="90000"/>
    <n v="324000"/>
    <n v="675000"/>
    <n v="168750"/>
    <n v="10000"/>
    <n v="308000"/>
    <n v="1551000"/>
  </r>
  <r>
    <s v="ΕΑΠ"/>
    <n v="261375.12"/>
    <n v="261375.12"/>
    <d v="2020-09-01T00:00:00"/>
    <d v="2023-08-31T00:00:00"/>
    <d v="2023-08-31T00:00:00"/>
    <n v="35"/>
    <x v="6"/>
    <s v="ΛΑΠ"/>
    <n v="261375.12"/>
    <n v="0"/>
    <n v="261375.12"/>
    <n v="7467.8605714285713"/>
    <n v="89614.326857142849"/>
    <n v="144000"/>
    <n v="90000"/>
    <n v="162000"/>
    <n v="135000"/>
    <n v="33750"/>
    <n v="10000"/>
    <n v="154000"/>
    <n v="695000"/>
  </r>
  <r>
    <s v="ΠΑΝ. ΘΕΣΣΑΛΙΑΣ"/>
    <n v="1657057"/>
    <n v="1657057"/>
    <d v="2019-01-15T00:00:00"/>
    <d v="2023-08-31T00:00:00"/>
    <d v="2023-08-31T00:00:00"/>
    <n v="55"/>
    <x v="7"/>
    <s v="ΛΑΠ"/>
    <n v="1657057"/>
    <n v="0"/>
    <n v="1657057"/>
    <n v="30128.30909090909"/>
    <n v="361539.70909090911"/>
    <n v="144000"/>
    <n v="90000"/>
    <n v="486000"/>
    <n v="1485000"/>
    <n v="371250"/>
    <n v="10000"/>
    <n v="561000"/>
    <n v="2387360"/>
  </r>
  <r>
    <m/>
    <m/>
    <m/>
    <m/>
    <m/>
    <m/>
    <m/>
    <x v="8"/>
    <m/>
    <m/>
    <m/>
    <m/>
    <m/>
    <m/>
    <m/>
    <m/>
    <m/>
    <m/>
    <m/>
    <m/>
    <m/>
    <n v="388640"/>
  </r>
  <r>
    <s v="ΠΑ.ΠΕΙ."/>
    <n v="442181"/>
    <n v="553604.4"/>
    <d v="2018-05-31T00:00:00"/>
    <d v="2023-08-31T00:00:00"/>
    <d v="2022-08-31T00:00:00"/>
    <n v="63"/>
    <x v="9"/>
    <s v="ΠΑΠ"/>
    <n v="442181"/>
    <n v="111423.4"/>
    <n v="553604.4"/>
    <n v="8787.3714285714286"/>
    <n v="105448.45714285714"/>
    <n v="144000"/>
    <n v="90000"/>
    <n v="324000"/>
    <n v="540000"/>
    <n v="135000"/>
    <n v="10000"/>
    <n v="539000"/>
    <n v="1647000"/>
  </r>
  <r>
    <s v="ΠΟΛΥΤΕΧΝΕΙΟ ΚΡΗΤΗΣ"/>
    <n v="291666.7"/>
    <n v="291666.7"/>
    <d v="2020-05-01T00:00:00"/>
    <d v="2023-08-31T00:00:00"/>
    <d v="2023-08-31T00:00:00"/>
    <n v="39"/>
    <x v="10"/>
    <s v="ΜΕΤ"/>
    <n v="291666.7"/>
    <n v="0"/>
    <n v="291666.7"/>
    <n v="7478.6333333333332"/>
    <n v="89743.6"/>
    <n v="144000"/>
    <n v="90000"/>
    <n v="162000"/>
    <n v="405000"/>
    <n v="101250"/>
    <n v="10000"/>
    <n v="55000"/>
    <n v="866000"/>
  </r>
  <r>
    <s v="ΙΟΝΙΟ ΠΑΝΕΠΙΣΤΗΜΙΟ"/>
    <n v="700000"/>
    <n v="700000"/>
    <d v="2018-05-31T00:00:00"/>
    <d v="2023-09-30T00:00:00"/>
    <d v="2023-09-30T00:00:00"/>
    <n v="63"/>
    <x v="11"/>
    <s v="ΜΕΤ"/>
    <n v="700000"/>
    <n v="0"/>
    <n v="700000"/>
    <n v="11111.111111111111"/>
    <n v="133333.33333333334"/>
    <n v="144000"/>
    <n v="90000"/>
    <n v="324000"/>
    <n v="135000"/>
    <n v="33750"/>
    <n v="10000"/>
    <n v="11000"/>
    <n v="714000"/>
  </r>
  <r>
    <s v="ΠΑΝ. ΠΕΛΟΠΟΝΝΗΣΟΥ"/>
    <n v="506034"/>
    <n v="506034"/>
    <d v="2020-03-01T00:00:00"/>
    <d v="2023-09-30T00:00:00"/>
    <d v="2023-09-30T00:00:00"/>
    <n v="42"/>
    <x v="12"/>
    <s v="ΜΕΤ"/>
    <n v="506034"/>
    <n v="0"/>
    <n v="506034"/>
    <n v="12048.428571428571"/>
    <n v="144581.14285714284"/>
    <n v="144000"/>
    <n v="90000"/>
    <n v="324000"/>
    <n v="270000"/>
    <n v="67500"/>
    <n v="10000"/>
    <n v="341000"/>
    <n v="1179000"/>
  </r>
  <r>
    <s v="ΠΑΔΑ"/>
    <n v="892589"/>
    <n v="892589"/>
    <d v="2019-10-01T00:00:00"/>
    <d v="2023-09-30T00:00:00"/>
    <d v="2023-09-30T00:00:00"/>
    <n v="47"/>
    <x v="9"/>
    <s v="ΠΑΠ"/>
    <n v="892589"/>
    <n v="0"/>
    <n v="892589"/>
    <n v="18991.255319148935"/>
    <n v="227895.06382978722"/>
    <n v="144000"/>
    <n v="90000"/>
    <n v="486000"/>
    <n v="1890000"/>
    <n v="472500"/>
    <n v="10000"/>
    <n v="1100000"/>
    <n v="3720000"/>
  </r>
  <r>
    <s v="ΔΠΘ"/>
    <n v="1100000"/>
    <n v="1380212"/>
    <d v="2018-04-01T00:00:00"/>
    <d v="2023-09-30T00:00:00"/>
    <d v="2022-06-30T00:00:00"/>
    <n v="65"/>
    <x v="3"/>
    <s v="ΛΑΠ"/>
    <n v="1100000"/>
    <n v="280212"/>
    <n v="1380212"/>
    <n v="21234.030769230769"/>
    <n v="254808.36923076923"/>
    <n v="144000"/>
    <n v="90000"/>
    <n v="324000"/>
    <n v="405000"/>
    <n v="101250"/>
    <n v="10000"/>
    <n v="209000"/>
    <n v="1182000"/>
  </r>
  <r>
    <s v="ΠΑΝ. ΠΑΤΡΩΝ"/>
    <n v="1765407"/>
    <n v="1765407"/>
    <d v="2018-06-01T00:00:00"/>
    <d v="2023-09-30T00:00:00"/>
    <d v="2023-09-30T00:00:00"/>
    <n v="63"/>
    <x v="6"/>
    <s v="ΛΑΠ"/>
    <n v="1765407"/>
    <n v="0"/>
    <n v="1765407"/>
    <n v="28022.333333333332"/>
    <n v="336268"/>
    <n v="144000"/>
    <n v="90000"/>
    <n v="486000"/>
    <n v="270000"/>
    <n v="67500"/>
    <n v="10000"/>
    <n v="308000"/>
    <n v="1308000"/>
  </r>
  <r>
    <s v="ΕΛΜΕΠΑ"/>
    <n v="612459"/>
    <n v="751099"/>
    <d v="2018-09-01T00:00:00"/>
    <d v="2023-08-31T00:00:00"/>
    <d v="2023-04-30T00:00:00"/>
    <n v="59"/>
    <x v="10"/>
    <s v="ΜΕΤ"/>
    <n v="612459"/>
    <n v="138640"/>
    <n v="751099"/>
    <n v="12730.491525423729"/>
    <n v="152765.89830508476"/>
    <n v="144000"/>
    <n v="90000"/>
    <n v="324000"/>
    <n v="135000"/>
    <n v="33750"/>
    <n v="10000"/>
    <n v="198000"/>
    <n v="901000"/>
  </r>
  <r>
    <s v="ΠΑΝΤΕΙΟ"/>
    <n v="404595.68"/>
    <n v="478154.18"/>
    <d v="2018-01-01T00:00:00"/>
    <d v="2023-08-31T00:00:00"/>
    <d v="2023-02-28T00:00:00"/>
    <n v="67"/>
    <x v="9"/>
    <s v="ΠΑΠ"/>
    <n v="404595.68"/>
    <n v="73558.5"/>
    <n v="478154.18"/>
    <n v="7136.6295522388054"/>
    <n v="85639.554626865662"/>
    <n v="144000"/>
    <n v="90000"/>
    <n v="162000"/>
    <n v="1755000"/>
    <n v="438750"/>
    <n v="10000"/>
    <n v="1474000"/>
    <n v="3635000"/>
  </r>
  <r>
    <s v="ΧΑΡΟΚΟΠΕΙΟ"/>
    <n v="350000"/>
    <n v="366219.64"/>
    <d v="2018-04-01T00:00:00"/>
    <d v="2023-08-31T00:00:00"/>
    <d v="2023-03-31T00:00:00"/>
    <n v="64"/>
    <x v="9"/>
    <s v="ΠΑΠ"/>
    <n v="350000"/>
    <n v="30379.94"/>
    <n v="380379.94"/>
    <n v="5943.4365625"/>
    <n v="71321.238750000004"/>
    <n v="144000"/>
    <n v="90000"/>
    <n v="162000"/>
    <n v="270000"/>
    <n v="67500"/>
    <n v="10000"/>
    <n v="110000"/>
    <n v="786000"/>
  </r>
  <r>
    <s v="ΓΕΩΠΟΝΙΚΟ"/>
    <n v="570000"/>
    <n v="671148.03"/>
    <d v="2018-01-01T00:00:00"/>
    <d v="2023-08-31T00:00:00"/>
    <d v="2023-06-30T00:00:00"/>
    <n v="67"/>
    <x v="9"/>
    <s v="ΠΑΠ"/>
    <n v="570000"/>
    <n v="100248.03"/>
    <n v="670248.03"/>
    <n v="10003.701940298508"/>
    <n v="120044.42328358209"/>
    <n v="144000"/>
    <n v="90000"/>
    <n v="162000"/>
    <n v="270000"/>
    <n v="67500"/>
    <n v="10000"/>
    <n v="22000"/>
    <n v="537460"/>
  </r>
  <r>
    <m/>
    <m/>
    <m/>
    <m/>
    <m/>
    <m/>
    <m/>
    <x v="8"/>
    <m/>
    <m/>
    <m/>
    <m/>
    <m/>
    <m/>
    <m/>
    <m/>
    <m/>
    <m/>
    <m/>
    <m/>
    <m/>
    <n v="160540"/>
  </r>
  <r>
    <s v="ΑΣΠΑΙΤΕ"/>
    <n v="350000"/>
    <n v="391430"/>
    <d v="2018-03-01T00:00:00"/>
    <d v="2023-08-31T00:00:00"/>
    <d v="2022-12-31T00:00:00"/>
    <n v="65"/>
    <x v="9"/>
    <s v="ΠΑΠ"/>
    <n v="350000"/>
    <n v="41430"/>
    <n v="391430"/>
    <n v="6022"/>
    <n v="72264"/>
    <n v="144000"/>
    <n v="90000"/>
    <n v="162000"/>
    <n v="270000"/>
    <n v="67500"/>
    <n v="10000"/>
    <n v="22000"/>
    <n v="698000"/>
  </r>
  <r>
    <s v="ΟΠΑ"/>
    <n v="389792"/>
    <n v="507233.6"/>
    <d v="2018-01-01T00:00:00"/>
    <d v="2023-08-31T00:00:00"/>
    <d v="2023-06-30T00:00:00"/>
    <n v="67"/>
    <x v="9"/>
    <s v="ΠΑΠ"/>
    <n v="389792"/>
    <n v="64441.599999999999"/>
    <n v="454233.59999999998"/>
    <n v="6779.6059701492532"/>
    <n v="81355.271641791041"/>
    <n v="144000"/>
    <n v="90000"/>
    <n v="162000"/>
    <n v="675000"/>
    <n v="168750"/>
    <n v="10000"/>
    <n v="363000"/>
    <n v="1444000"/>
  </r>
  <r>
    <s v="ΠΑΜΑΚ"/>
    <n v="598486"/>
    <n v="598486"/>
    <d v="2017-12-01T00:00:00"/>
    <d v="2023-09-30T00:00:00"/>
    <d v="2023-09-30T00:00:00"/>
    <n v="69"/>
    <x v="2"/>
    <s v="ΛΑΠ"/>
    <n v="598486"/>
    <n v="0"/>
    <n v="598486"/>
    <n v="8673.710144927536"/>
    <n v="104084.52173913043"/>
    <n v="144000"/>
    <n v="90000"/>
    <n v="162000"/>
    <n v="540000"/>
    <n v="135000"/>
    <n v="10000"/>
    <n v="253000"/>
    <n v="1199000"/>
  </r>
  <r>
    <s v="ΑΣΚΤ"/>
    <n v="350000"/>
    <n v="442020"/>
    <d v="2017-12-01T00:00:00"/>
    <d v="2023-08-31T00:00:00"/>
    <d v="2022-09-30T00:00:00"/>
    <n v="68"/>
    <x v="9"/>
    <s v="ΠΑΠ"/>
    <n v="350000"/>
    <n v="92020"/>
    <n v="442020"/>
    <n v="6500.2941176470586"/>
    <n v="78003.529411764699"/>
    <n v="144000"/>
    <n v="90000"/>
    <n v="162000"/>
    <n v="135000"/>
    <n v="33750"/>
    <n v="10000"/>
    <n v="22000"/>
    <n v="563000"/>
  </r>
  <r>
    <s v="ΕΚΠΑ"/>
    <n v="1650000"/>
    <n v="1650000"/>
    <d v="2018-01-01T00:00:00"/>
    <d v="2023-09-30T00:00:00"/>
    <d v="2023-09-30T00:00:00"/>
    <n v="68"/>
    <x v="9"/>
    <s v="ΠΑΠ"/>
    <n v="1650000"/>
    <n v="0"/>
    <n v="1650000"/>
    <n v="24264.705882352941"/>
    <n v="291176.4705882353"/>
    <n v="144000"/>
    <n v="90000"/>
    <n v="486000"/>
    <n v="5265000"/>
    <n v="1316250"/>
    <n v="10000"/>
    <n v="2475000"/>
    <n v="7453600"/>
  </r>
  <r>
    <m/>
    <m/>
    <m/>
    <m/>
    <m/>
    <m/>
    <m/>
    <x v="8"/>
    <m/>
    <m/>
    <m/>
    <m/>
    <m/>
    <m/>
    <m/>
    <m/>
    <m/>
    <m/>
    <m/>
    <m/>
    <m/>
    <n v="1016400"/>
  </r>
  <r>
    <s v="ΠΑΝ ΚΡΗΤΗΣ"/>
    <n v="745955.2"/>
    <n v="883420.2"/>
    <d v="2018-06-28T00:00:00"/>
    <d v="2023-09-30T00:00:00"/>
    <d v="2022-12-31T00:00:00"/>
    <n v="63"/>
    <x v="10"/>
    <s v="ΜΕΤ"/>
    <n v="745955.2"/>
    <n v="137465"/>
    <n v="883420.2"/>
    <n v="14022.542857142857"/>
    <n v="168270.51428571428"/>
    <n v="144000"/>
    <n v="90000"/>
    <n v="324000"/>
    <n v="135000"/>
    <n v="33750"/>
    <n v="10000"/>
    <n v="286000"/>
    <n v="989000"/>
  </r>
  <r>
    <s v="ΕΜΠ"/>
    <n v="471452"/>
    <n v="604479.38"/>
    <d v="2018-04-01T00:00:00"/>
    <d v="2023-08-31T00:00:00"/>
    <d v="2022-06-30T00:00:00"/>
    <n v="64"/>
    <x v="9"/>
    <s v="ΠΑΠ"/>
    <n v="471452"/>
    <n v="133027.38"/>
    <n v="604479.38"/>
    <n v="9444.9903125000001"/>
    <n v="113339.88375000001"/>
    <n v="144000"/>
    <n v="90000"/>
    <n v="162000"/>
    <n v="135000"/>
    <n v="33750"/>
    <n v="10000"/>
    <n v="66000"/>
    <n v="607000"/>
  </r>
  <r>
    <s v="ΑΠΘ"/>
    <n v="1100000"/>
    <n v="1252355"/>
    <d v="2018-11-01T00:00:00"/>
    <d v="2023-08-31T00:00:00"/>
    <d v="2022-10-31T00:00:00"/>
    <n v="57"/>
    <x v="2"/>
    <s v="ΛΑΠ"/>
    <n v="1100000"/>
    <n v="152355"/>
    <n v="1252355"/>
    <n v="21971.140350877195"/>
    <n v="263653.68421052635"/>
    <n v="144000"/>
    <n v="90000"/>
    <n v="486000"/>
    <n v="5805000"/>
    <n v="1451250"/>
    <n v="10000"/>
    <n v="1496000"/>
    <n v="80310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s v="ΠΑΝΕΠΙΣΤΗΜΙΟ ΑΙΓΑΙΟΥ"/>
    <x v="0"/>
    <n v="129600"/>
    <n v="129600"/>
    <n v="110880"/>
    <n v="93555"/>
    <n v="10000"/>
    <n v="50820"/>
    <n v="11842.6"/>
    <n v="41156.400000000001"/>
    <x v="0"/>
  </r>
  <r>
    <m/>
    <x v="1"/>
    <n v="129600"/>
    <m/>
    <n v="33120"/>
    <n v="27945"/>
    <m/>
    <n v="15180"/>
    <n v="3537.4"/>
    <n v="16467.599999999999"/>
    <x v="1"/>
  </r>
  <r>
    <s v="ΔΙΕΘΝΕΣ ΠΑΝ. ΕΛΛΑΔΟΣ"/>
    <x v="2"/>
    <n v="129600"/>
    <n v="129600"/>
    <n v="144000"/>
    <n v="324000"/>
    <n v="10000"/>
    <n v="220000"/>
    <n v="22920"/>
    <n v="75776"/>
    <x v="2"/>
  </r>
  <r>
    <m/>
    <x v="3"/>
    <n v="129600"/>
    <m/>
    <n v="144000"/>
    <m/>
    <m/>
    <m/>
    <n v="7640"/>
    <n v="21888"/>
    <x v="3"/>
  </r>
  <r>
    <s v="ΠΑΝ. ΔΥΤΙΚΗΣ ΜΑΚΕΔΟΝΙΑΣ"/>
    <x v="4"/>
    <n v="129600"/>
    <n v="129600"/>
    <n v="288000"/>
    <n v="121500"/>
    <n v="10000"/>
    <n v="110000"/>
    <n v="16260"/>
    <n v="62296"/>
    <x v="4"/>
  </r>
  <r>
    <s v="ΠΑΝ. ΙΩΑΝΝΙΝΩΝ"/>
    <x v="5"/>
    <n v="129600"/>
    <n v="129600"/>
    <n v="144000"/>
    <n v="364500"/>
    <n v="10000"/>
    <n v="330000"/>
    <n v="31020"/>
    <n v="87816"/>
    <x v="5"/>
  </r>
  <r>
    <s v="ΕΑΠ"/>
    <x v="6"/>
    <n v="129600"/>
    <n v="129600"/>
    <n v="144000"/>
    <n v="121500"/>
    <n v="10000"/>
    <n v="77000"/>
    <n v="13900"/>
    <n v="48136"/>
    <x v="6"/>
  </r>
  <r>
    <s v="ΠΑΝ. ΘΕΣΣΑΛΙΑΣ"/>
    <x v="7"/>
    <n v="129600"/>
    <n v="129600"/>
    <n v="144000"/>
    <n v="891000"/>
    <n v="10000"/>
    <n v="165000"/>
    <n v="47747.199999999997"/>
    <n v="116736"/>
    <x v="7"/>
  </r>
  <r>
    <m/>
    <x v="8"/>
    <n v="129600"/>
    <m/>
    <n v="144000"/>
    <m/>
    <m/>
    <m/>
    <n v="7772.8"/>
    <n v="21888"/>
    <x v="8"/>
  </r>
  <r>
    <s v="ΠΑ.ΠΕΙ."/>
    <x v="9"/>
    <n v="129600"/>
    <n v="129600"/>
    <n v="144000"/>
    <n v="283500"/>
    <n v="10000"/>
    <n v="385000"/>
    <n v="32940"/>
    <n v="85736"/>
    <x v="9"/>
  </r>
  <r>
    <s v="ΠΟΛΥΤΕΧΝΕΙΟ ΚΡΗΤΗΣ"/>
    <x v="10"/>
    <n v="129600"/>
    <n v="129600"/>
    <n v="144000"/>
    <n v="202500"/>
    <n v="10000"/>
    <n v="55000"/>
    <n v="17320"/>
    <n v="52856"/>
    <x v="10"/>
  </r>
  <r>
    <s v="ΙΟΝΙΟ ΠΑΝΕΠΙΣΤΗΜΙΟ"/>
    <x v="11"/>
    <n v="129600"/>
    <n v="129600"/>
    <n v="288000"/>
    <n v="121500"/>
    <n v="10000"/>
    <n v="11000"/>
    <n v="14280"/>
    <n v="54376"/>
    <x v="11"/>
  </r>
  <r>
    <s v="ΠΑΝ. ΠΕΛΟΠΟΝΝΗΣΟΥ"/>
    <x v="12"/>
    <n v="129600"/>
    <n v="129600"/>
    <n v="288000"/>
    <n v="121500"/>
    <n v="10000"/>
    <n v="220000"/>
    <n v="23580"/>
    <n v="71096"/>
    <x v="12"/>
  </r>
  <r>
    <s v="ΠΑΔΑ"/>
    <x v="9"/>
    <n v="129600"/>
    <n v="129600"/>
    <n v="288000"/>
    <n v="1134000"/>
    <n v="10000"/>
    <n v="110000"/>
    <n v="74400"/>
    <n v="143296"/>
    <x v="13"/>
  </r>
  <r>
    <s v="ΔΠΘ"/>
    <x v="3"/>
    <n v="129600"/>
    <n v="129600"/>
    <n v="144000"/>
    <n v="243000"/>
    <n v="10000"/>
    <n v="209000"/>
    <n v="23640"/>
    <n v="68416"/>
    <x v="14"/>
  </r>
  <r>
    <s v="ΠΑΝ. ΠΑΤΡΩΝ"/>
    <x v="6"/>
    <n v="129600"/>
    <n v="129600"/>
    <n v="288000"/>
    <n v="121500"/>
    <n v="10000"/>
    <n v="165000"/>
    <n v="26160"/>
    <n v="66696"/>
    <x v="15"/>
  </r>
  <r>
    <s v="ΕΛΜΕΠΑ"/>
    <x v="10"/>
    <n v="129600"/>
    <n v="129600"/>
    <n v="288000"/>
    <n v="121500"/>
    <n v="10000"/>
    <n v="198000"/>
    <n v="18020"/>
    <n v="69336"/>
    <x v="16"/>
  </r>
  <r>
    <s v="ΠΑΝΤΕΙΟ"/>
    <x v="9"/>
    <n v="129600"/>
    <n v="129600"/>
    <n v="144000"/>
    <n v="1012500"/>
    <n v="10000"/>
    <n v="275000"/>
    <n v="72700"/>
    <n v="135256"/>
    <x v="17"/>
  </r>
  <r>
    <s v="ΧΑΡΟΚΟΠΕΙΟ"/>
    <x v="9"/>
    <n v="129600"/>
    <n v="129600"/>
    <n v="144000"/>
    <n v="121500"/>
    <n v="10000"/>
    <n v="77000"/>
    <n v="15720"/>
    <n v="48136"/>
    <x v="18"/>
  </r>
  <r>
    <s v="ΓΕΩΠΟΝΙΚΟ"/>
    <x v="9"/>
    <n v="129600"/>
    <n v="129600"/>
    <n v="144000"/>
    <n v="121500"/>
    <n v="10000"/>
    <n v="22000"/>
    <n v="10749.2"/>
    <n v="43736"/>
    <x v="19"/>
  </r>
  <r>
    <m/>
    <x v="8"/>
    <n v="129600"/>
    <m/>
    <m/>
    <m/>
    <m/>
    <m/>
    <n v="3210.8"/>
    <n v="10368"/>
    <x v="20"/>
  </r>
  <r>
    <s v="ΑΣΠΑΙΤΕ"/>
    <x v="9"/>
    <n v="129600"/>
    <n v="129600"/>
    <n v="144000"/>
    <n v="120000"/>
    <n v="10000"/>
    <n v="22000"/>
    <n v="13960"/>
    <n v="43616"/>
    <x v="21"/>
  </r>
  <r>
    <s v="ΟΠΑ"/>
    <x v="9"/>
    <n v="129600"/>
    <n v="129600"/>
    <n v="144000"/>
    <n v="364500"/>
    <n v="10000"/>
    <n v="187000"/>
    <n v="28880"/>
    <n v="76376"/>
    <x v="22"/>
  </r>
  <r>
    <s v="ΠΑΜΑΚ"/>
    <x v="2"/>
    <n v="129600"/>
    <n v="129600"/>
    <n v="144000"/>
    <n v="324000"/>
    <n v="10000"/>
    <n v="132000"/>
    <n v="23980"/>
    <n v="68736"/>
    <x v="23"/>
  </r>
  <r>
    <s v="ΑΣΚΤ"/>
    <x v="9"/>
    <n v="129600"/>
    <n v="129600"/>
    <n v="144000"/>
    <n v="121500"/>
    <n v="10000"/>
    <n v="22000"/>
    <n v="11260"/>
    <n v="43736"/>
    <x v="24"/>
  </r>
  <r>
    <s v="ΕΚΠΑ"/>
    <x v="9"/>
    <n v="129600"/>
    <n v="129600"/>
    <n v="432000"/>
    <n v="3159000"/>
    <n v="10000"/>
    <n v="313000"/>
    <n v="149072"/>
    <n v="333056"/>
    <x v="25"/>
  </r>
  <r>
    <m/>
    <x v="8"/>
    <n v="129600"/>
    <n v="129600"/>
    <n v="144000"/>
    <m/>
    <m/>
    <n v="72000"/>
    <n v="20328"/>
    <n v="38016"/>
    <x v="26"/>
  </r>
  <r>
    <s v="ΠΑΝ ΚΡΗΤΗΣ"/>
    <x v="10"/>
    <n v="129600"/>
    <n v="129600"/>
    <n v="288000"/>
    <n v="121500"/>
    <n v="10000"/>
    <n v="77000"/>
    <n v="19780"/>
    <n v="59656"/>
    <x v="27"/>
  </r>
  <r>
    <s v="ΕΜΠ"/>
    <x v="9"/>
    <n v="129600"/>
    <n v="129600"/>
    <n v="144000"/>
    <n v="121500"/>
    <n v="10000"/>
    <n v="66000"/>
    <n v="12140"/>
    <n v="47256"/>
    <x v="28"/>
  </r>
  <r>
    <s v="ΑΠΘ"/>
    <x v="2"/>
    <n v="129600"/>
    <n v="129600"/>
    <n v="432000"/>
    <n v="3442500"/>
    <n v="10000"/>
    <n v="440000"/>
    <n v="160620"/>
    <n v="365896"/>
    <x v="29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">
  <r>
    <n v="1"/>
    <s v="ΠΑΝΕΠΙΣΤΗΜΙΟ ΑΙΓΑΙΟΥ"/>
    <x v="0"/>
    <n v="129600"/>
    <n v="129600"/>
    <n v="144000"/>
    <n v="121500"/>
    <n v="20000"/>
    <n v="44000"/>
    <n v="129600"/>
    <n v="23224.92"/>
    <n v="55864"/>
    <n v="797388.92"/>
  </r>
  <r>
    <m/>
    <m/>
    <x v="1"/>
    <n v="129600"/>
    <n v="129600"/>
    <n v="144000"/>
    <n v="121500"/>
    <n v="10000"/>
    <n v="22000"/>
    <n v="129600"/>
    <n v="22212.12"/>
    <n v="54104"/>
    <n v="762616.12"/>
  </r>
  <r>
    <n v="2"/>
    <s v="ΔΙΕΘΝΕΣ ΠΑΝ. ΕΛΛΑΔΟΣ"/>
    <x v="2"/>
    <n v="129600"/>
    <n v="129600"/>
    <n v="288000"/>
    <n v="243000"/>
    <n v="20000"/>
    <n v="165000"/>
    <n v="518400"/>
    <n v="48344.639999999999"/>
    <n v="117888"/>
    <n v="1659832.64"/>
  </r>
  <r>
    <m/>
    <m/>
    <x v="3"/>
    <n v="129600"/>
    <n v="129600"/>
    <n v="144000"/>
    <n v="121500"/>
    <n v="10000"/>
    <n v="55000"/>
    <n v="129600"/>
    <n v="23281.32"/>
    <n v="56744"/>
    <n v="799325.32"/>
  </r>
  <r>
    <n v="3"/>
    <s v="ΠΑΝ. ΔΥΤΙΚΗΣ ΜΑΚΕΔΟΝΙΑΣ"/>
    <x v="4"/>
    <n v="129600"/>
    <n v="129600"/>
    <n v="288000"/>
    <n v="121500"/>
    <n v="30000"/>
    <n v="110000"/>
    <n v="388800"/>
    <n v="38727"/>
    <n v="93400"/>
    <n v="1329627"/>
  </r>
  <r>
    <n v="4"/>
    <s v="ΠΑΝ. ΙΩΑΝΝΙΝΩΝ"/>
    <x v="5"/>
    <n v="129600"/>
    <n v="129600"/>
    <n v="288000"/>
    <n v="364500"/>
    <n v="30000"/>
    <n v="330000"/>
    <n v="388800"/>
    <n v="53728.2"/>
    <n v="130440"/>
    <n v="1844668.2"/>
  </r>
  <r>
    <n v="5"/>
    <s v="ΕΑΠ"/>
    <x v="6"/>
    <n v="129600"/>
    <n v="129600"/>
    <n v="144000"/>
    <n v="121500"/>
    <n v="30000"/>
    <n v="77000"/>
    <n v="259200"/>
    <n v="28793.16"/>
    <n v="68872"/>
    <n v="988565.16"/>
  </r>
  <r>
    <n v="6"/>
    <s v="ΠΑΝ. ΘΕΣΣΑΛΙΑΣ"/>
    <x v="7"/>
    <n v="129600"/>
    <n v="129600"/>
    <n v="288000"/>
    <n v="729000"/>
    <n v="20000"/>
    <n v="110000"/>
    <n v="388800"/>
    <n v="58110"/>
    <n v="142000"/>
    <n v="1995110"/>
  </r>
  <r>
    <m/>
    <m/>
    <x v="8"/>
    <n v="129600"/>
    <n v="129600"/>
    <n v="144000"/>
    <n v="121500"/>
    <n v="10000"/>
    <n v="55000"/>
    <n v="129600"/>
    <n v="23281.32"/>
    <n v="56744"/>
    <n v="799325.32"/>
  </r>
  <r>
    <n v="7"/>
    <s v="ΠΑ.ΠΕΙ."/>
    <x v="9"/>
    <n v="129600"/>
    <n v="129600"/>
    <n v="288000"/>
    <n v="243000"/>
    <n v="30000"/>
    <n v="385000"/>
    <n v="259200"/>
    <n v="47374.559999999998"/>
    <n v="114752"/>
    <n v="1626526.56"/>
  </r>
  <r>
    <n v="8"/>
    <s v="ΠΟΛΥΤΕΧΝΕΙΟ ΚΡΗΤΗΣ"/>
    <x v="10"/>
    <n v="129600"/>
    <n v="129600"/>
    <n v="144000"/>
    <n v="243000"/>
    <n v="30000"/>
    <n v="55000"/>
    <n v="129600"/>
    <n v="27817.919999999998"/>
    <n v="66464"/>
    <n v="955081.92"/>
  </r>
  <r>
    <n v="9"/>
    <s v="ΙΟΝΙΟ ΠΑΝΕΠΙΣΤΗΜΙΟ"/>
    <x v="11"/>
    <n v="129600"/>
    <n v="129600"/>
    <n v="288000"/>
    <n v="121500"/>
    <n v="30000"/>
    <n v="22000"/>
    <n v="129600"/>
    <n v="27477.72"/>
    <n v="65624"/>
    <n v="943401.72"/>
  </r>
  <r>
    <n v="10"/>
    <s v="ΠΑΝ. ΠΕΛΟΠΟΝΝΗΣΟΥ"/>
    <x v="12"/>
    <n v="129600"/>
    <n v="129600"/>
    <n v="288000"/>
    <n v="121500"/>
    <n v="20000"/>
    <n v="165000"/>
    <n v="129600"/>
    <n v="31810.92"/>
    <n v="77064"/>
    <n v="1092174.92"/>
  </r>
  <r>
    <m/>
    <m/>
    <x v="6"/>
    <n v="129600"/>
    <n v="129600"/>
    <n v="144000"/>
    <n v="121500"/>
    <n v="10000"/>
    <n v="55000"/>
    <n v="129600"/>
    <n v="23281.32"/>
    <n v="56744"/>
    <n v="799325.32"/>
  </r>
  <r>
    <n v="11"/>
    <s v="ΠΑΔΑ"/>
    <x v="9"/>
    <n v="129600"/>
    <n v="129600"/>
    <n v="288000"/>
    <n v="1093500"/>
    <n v="30000"/>
    <n v="110000"/>
    <n v="648000"/>
    <n v="78617.88"/>
    <n v="191896"/>
    <n v="2699213.88"/>
  </r>
  <r>
    <n v="12"/>
    <s v="ΔΠΘ"/>
    <x v="3"/>
    <n v="129600"/>
    <n v="129600"/>
    <n v="288000"/>
    <n v="243000"/>
    <n v="30000"/>
    <n v="209000"/>
    <n v="388800"/>
    <n v="45871.199999999997"/>
    <n v="111040"/>
    <n v="1574911.2"/>
  </r>
  <r>
    <n v="13"/>
    <s v="ΠΑΝ. ΠΑΤΡΩΝ"/>
    <x v="6"/>
    <n v="129600"/>
    <n v="129600"/>
    <n v="288000"/>
    <n v="121500"/>
    <n v="30000"/>
    <n v="165000"/>
    <n v="648000"/>
    <n v="48907.08"/>
    <n v="118536"/>
    <n v="1679143.08"/>
  </r>
  <r>
    <n v="14"/>
    <s v="ΕΛΜΕΠΑ"/>
    <x v="10"/>
    <n v="129600"/>
    <n v="129600"/>
    <n v="288000"/>
    <n v="121500"/>
    <n v="30000"/>
    <n v="198000"/>
    <n v="259200"/>
    <n v="37379.160000000003"/>
    <n v="90072"/>
    <n v="1283351.1599999999"/>
  </r>
  <r>
    <n v="15"/>
    <s v="ΠΑΝΤΕΙΟ"/>
    <x v="9"/>
    <n v="129600"/>
    <n v="129600"/>
    <n v="144000"/>
    <n v="972000"/>
    <n v="30000"/>
    <n v="275000"/>
    <n v="259200"/>
    <n v="62764.56"/>
    <n v="152752"/>
    <n v="2154916.56"/>
  </r>
  <r>
    <n v="16"/>
    <s v="ΧΑΡΟΚΟΠΕΙΟ"/>
    <x v="9"/>
    <n v="129600"/>
    <n v="129600"/>
    <n v="144000"/>
    <n v="121500"/>
    <n v="30000"/>
    <n v="77000"/>
    <n v="129600"/>
    <n v="24594.12"/>
    <n v="58504"/>
    <n v="844398.12"/>
  </r>
  <r>
    <n v="17"/>
    <s v="ΓΕΩΠΟΝΙΚΟ"/>
    <x v="9"/>
    <n v="129600"/>
    <n v="129600"/>
    <n v="144000"/>
    <n v="121500"/>
    <n v="20000"/>
    <n v="22000"/>
    <n v="129600"/>
    <n v="22512.12"/>
    <n v="54104"/>
    <n v="772916.12"/>
  </r>
  <r>
    <m/>
    <m/>
    <x v="8"/>
    <n v="129600"/>
    <n v="129600"/>
    <n v="144000"/>
    <n v="121500"/>
    <n v="10000"/>
    <n v="11000"/>
    <n v="129600"/>
    <n v="21855.72"/>
    <n v="53224"/>
    <n v="750379.72"/>
  </r>
  <r>
    <n v="18"/>
    <s v="ΑΣΠΑΙΤΕ"/>
    <x v="9"/>
    <n v="129600"/>
    <n v="129600"/>
    <n v="144000"/>
    <n v="121500"/>
    <n v="30000"/>
    <n v="22000"/>
    <n v="129600"/>
    <n v="22812.12"/>
    <n v="54104"/>
    <n v="783216.12"/>
  </r>
  <r>
    <n v="19"/>
    <s v="ΟΠΑ"/>
    <x v="9"/>
    <n v="129600"/>
    <n v="129600"/>
    <n v="144000"/>
    <n v="364500"/>
    <n v="30000"/>
    <n v="187000"/>
    <n v="259200"/>
    <n v="40230.36"/>
    <n v="97112"/>
    <n v="1381242.36"/>
  </r>
  <r>
    <n v="20"/>
    <s v="ΠΑΜΑΚ"/>
    <x v="2"/>
    <n v="129600"/>
    <n v="129600"/>
    <n v="144000"/>
    <n v="364500"/>
    <n v="30000"/>
    <n v="132000"/>
    <n v="129600"/>
    <n v="34249.32"/>
    <n v="82344"/>
    <n v="1175893.32"/>
  </r>
  <r>
    <n v="21"/>
    <s v="ΑΣΚΤ"/>
    <x v="9"/>
    <n v="129600"/>
    <n v="129600"/>
    <n v="144000"/>
    <n v="121500"/>
    <n v="30000"/>
    <n v="22000"/>
    <n v="129600"/>
    <n v="22812.12"/>
    <n v="54104"/>
    <n v="783216.12"/>
  </r>
  <r>
    <n v="22"/>
    <s v="ΕΚΠΑ"/>
    <x v="9"/>
    <n v="129600"/>
    <n v="129600"/>
    <n v="432000"/>
    <n v="3037500"/>
    <n v="20000"/>
    <n v="313000"/>
    <n v="777600"/>
    <n v="156745.32"/>
    <n v="385544"/>
    <n v="5381589.3200000003"/>
  </r>
  <r>
    <m/>
    <m/>
    <x v="8"/>
    <n v="129600"/>
    <n v="129600"/>
    <n v="144000"/>
    <n v="121500"/>
    <n v="10000"/>
    <n v="72000"/>
    <n v="129600"/>
    <n v="23832.12"/>
    <n v="58104"/>
    <n v="818236.12"/>
  </r>
  <r>
    <n v="23"/>
    <s v="ΠΑΝ ΚΡΗΤΗΣ"/>
    <x v="10"/>
    <n v="129600"/>
    <n v="129600"/>
    <n v="288000"/>
    <n v="121500"/>
    <n v="30000"/>
    <n v="77000"/>
    <n v="259200"/>
    <n v="33458.76"/>
    <n v="80392"/>
    <n v="1148750.76"/>
  </r>
  <r>
    <n v="24"/>
    <s v="ΕΜΠ"/>
    <x v="9"/>
    <n v="129600"/>
    <n v="129600"/>
    <n v="144000"/>
    <n v="121500"/>
    <n v="30000"/>
    <n v="66000"/>
    <n v="259200"/>
    <n v="28436.76"/>
    <n v="67992"/>
    <n v="976328.76"/>
  </r>
  <r>
    <n v="25"/>
    <s v="ΑΠΘ"/>
    <x v="2"/>
    <n v="129600"/>
    <n v="129600"/>
    <n v="432000"/>
    <n v="3402000"/>
    <n v="30000"/>
    <n v="440000"/>
    <n v="777600"/>
    <n v="172969.92"/>
    <n v="424864"/>
    <n v="5938633.91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4" cacheId="6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:B15" firstHeaderRow="1" firstDataRow="1" firstDataCol="1"/>
  <pivotFields count="13">
    <pivotField showAll="0"/>
    <pivotField showAll="0"/>
    <pivotField axis="axisRow" showAll="0">
      <items count="14">
        <item x="3"/>
        <item x="9"/>
        <item x="0"/>
        <item x="6"/>
        <item x="4"/>
        <item x="5"/>
        <item x="7"/>
        <item x="11"/>
        <item x="2"/>
        <item x="10"/>
        <item x="1"/>
        <item x="12"/>
        <item x="8"/>
        <item t="default"/>
      </items>
    </pivotField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dataField="1" numFmtId="164" showAl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Sum of ΣΥΝΟΛΟ" fld="12" baseField="0" baseItem="0" numFmtId="164"/>
  </dataFields>
  <formats count="1">
    <format dxfId="3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2" cacheId="2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:B15" firstHeaderRow="1" firstDataRow="1" firstDataCol="1"/>
  <pivotFields count="11">
    <pivotField showAll="0"/>
    <pivotField axis="axisRow" showAll="0">
      <items count="14">
        <item x="3"/>
        <item x="9"/>
        <item x="0"/>
        <item x="6"/>
        <item x="4"/>
        <item x="5"/>
        <item x="7"/>
        <item x="11"/>
        <item x="2"/>
        <item x="10"/>
        <item x="1"/>
        <item x="12"/>
        <item x="8"/>
        <item t="default"/>
      </items>
    </pivotField>
    <pivotField numFmtId="164" showAll="0"/>
    <pivotField showAll="0"/>
    <pivotField showAll="0"/>
    <pivotField showAll="0"/>
    <pivotField showAll="0"/>
    <pivotField showAll="0"/>
    <pivotField numFmtId="164" showAll="0"/>
    <pivotField numFmtId="164" showAll="0"/>
    <pivotField dataField="1" numFmtId="164" showAll="0"/>
  </pivotFields>
  <rowFields count="1">
    <field x="1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Sum of ΣΥΝΟΛΟ" fld="10" baseField="0" baseItem="0" numFmtId="164"/>
  </dataFields>
  <formats count="1">
    <format dxfId="3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2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:B15" firstHeaderRow="1" firstDataRow="1" firstDataCol="1"/>
  <pivotFields count="22">
    <pivotField showAll="0"/>
    <pivotField showAll="0"/>
    <pivotField showAll="0"/>
    <pivotField showAll="0"/>
    <pivotField showAll="0"/>
    <pivotField showAll="0"/>
    <pivotField showAll="0"/>
    <pivotField axis="axisRow" showAll="0">
      <items count="14">
        <item x="3"/>
        <item x="9"/>
        <item x="0"/>
        <item x="6"/>
        <item x="4"/>
        <item x="5"/>
        <item x="7"/>
        <item x="11"/>
        <item x="2"/>
        <item x="10"/>
        <item x="1"/>
        <item x="12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4" showAll="0"/>
  </pivotFields>
  <rowFields count="1">
    <field x="7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Sum of ΣΥΝΟΛΟ" fld="21" baseField="0" baseItem="0" numFmtId="164"/>
  </dataFields>
  <formats count="1">
    <format dxfId="32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9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1:B13" firstHeaderRow="1" firstDataRow="1" firstDataCol="1"/>
  <pivotFields count="15">
    <pivotField axis="axisRow" showAll="0">
      <items count="12">
        <item x="10"/>
        <item x="6"/>
        <item x="0"/>
        <item x="4"/>
        <item x="2"/>
        <item x="3"/>
        <item x="5"/>
        <item x="8"/>
        <item x="1"/>
        <item x="7"/>
        <item x="9"/>
        <item t="default"/>
      </items>
    </pivotField>
    <pivotField showAll="0"/>
    <pivotField numFmtId="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dataField="1" numFmtId="164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Sum of ΣΥΝΟΛΟ" fld="14" baseField="0" baseItem="0" numFmtId="164"/>
  </dataFields>
  <formats count="1">
    <format dxfId="31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900-000000000000}" name="PivotTable1" cacheId="6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rowHeaderCaption="ΠΕΡΙΦΕΡΕΙΕΣ">
  <location ref="A2:B16" firstHeaderRow="1" firstDataRow="1" firstDataCol="1"/>
  <pivotFields count="13">
    <pivotField showAll="0"/>
    <pivotField showAll="0"/>
    <pivotField axis="axisRow" showAll="0">
      <items count="14">
        <item x="3"/>
        <item x="9"/>
        <item x="0"/>
        <item x="6"/>
        <item x="4"/>
        <item x="5"/>
        <item x="7"/>
        <item x="11"/>
        <item x="2"/>
        <item x="10"/>
        <item x="1"/>
        <item x="12"/>
        <item x="8"/>
        <item t="default"/>
      </items>
    </pivotField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dataField="1" numFmtId="164" showAll="0"/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dataFields count="1">
    <dataField name="ΣΥΝΟΛΟ ΑΝΑ ΠΕΠ" fld="12" baseField="0" baseItem="0" numFmtId="164"/>
  </dataFields>
  <formats count="15">
    <format dxfId="30">
      <pivotArea outline="0" collapsedLevelsAreSubtotals="1" fieldPosition="0"/>
    </format>
    <format dxfId="29">
      <pivotArea field="2" type="button" dataOnly="0" labelOnly="1" outline="0" axis="axisRow" fieldPosition="0"/>
    </format>
    <format dxfId="28">
      <pivotArea dataOnly="0" labelOnly="1" outline="0" axis="axisValues" fieldPosition="0"/>
    </format>
    <format dxfId="27">
      <pivotArea field="2" type="button" dataOnly="0" labelOnly="1" outline="0" axis="axisRow" fieldPosition="0"/>
    </format>
    <format dxfId="26">
      <pivotArea dataOnly="0" labelOnly="1" outline="0" axis="axisValues" fieldPosition="0"/>
    </format>
    <format dxfId="25">
      <pivotArea field="2" type="button" dataOnly="0" labelOnly="1" outline="0" axis="axisRow" fieldPosition="0"/>
    </format>
    <format dxfId="24">
      <pivotArea dataOnly="0" labelOnly="1" outline="0" axis="axisValues" fieldPosition="0"/>
    </format>
    <format dxfId="23">
      <pivotArea field="2" type="button" dataOnly="0" labelOnly="1" outline="0" axis="axisRow" fieldPosition="0"/>
    </format>
    <format dxfId="22">
      <pivotArea dataOnly="0" labelOnly="1" outline="0" axis="axisValues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2" type="button" dataOnly="0" labelOnly="1" outline="0" axis="axisRow" fieldPosition="0"/>
    </format>
    <format dxfId="18">
      <pivotArea dataOnly="0" labelOnly="1" fieldPosition="0">
        <references count="1">
          <reference field="2" count="0"/>
        </references>
      </pivotArea>
    </format>
    <format dxfId="17">
      <pivotArea dataOnly="0" labelOnly="1" grandRow="1" outline="0" fieldPosition="0"/>
    </format>
    <format dxfId="1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3" zoomScaleNormal="100" zoomScalePageLayoutView="80" workbookViewId="0">
      <selection activeCell="G6" sqref="G6:G7"/>
    </sheetView>
  </sheetViews>
  <sheetFormatPr defaultColWidth="8.6640625" defaultRowHeight="14.4" x14ac:dyDescent="0.3"/>
  <cols>
    <col min="1" max="1" width="9.88671875" bestFit="1" customWidth="1"/>
    <col min="2" max="2" width="27.109375" bestFit="1" customWidth="1"/>
    <col min="3" max="3" width="20.88671875" style="31" bestFit="1" customWidth="1"/>
    <col min="4" max="4" width="18.33203125" customWidth="1"/>
    <col min="5" max="5" width="19.44140625" customWidth="1"/>
    <col min="6" max="6" width="16.6640625" customWidth="1"/>
    <col min="7" max="7" width="17.33203125" bestFit="1" customWidth="1"/>
    <col min="8" max="8" width="17.88671875" bestFit="1" customWidth="1"/>
    <col min="9" max="9" width="19.5546875" bestFit="1" customWidth="1"/>
    <col min="10" max="10" width="16" customWidth="1"/>
    <col min="11" max="11" width="16.6640625" bestFit="1" customWidth="1"/>
    <col min="12" max="12" width="15.6640625" bestFit="1" customWidth="1"/>
    <col min="13" max="13" width="17.33203125" bestFit="1" customWidth="1"/>
    <col min="14" max="14" width="16.109375" customWidth="1"/>
    <col min="15" max="15" width="22.6640625" bestFit="1" customWidth="1"/>
    <col min="16" max="16" width="14.6640625" bestFit="1" customWidth="1"/>
    <col min="17" max="17" width="12.6640625" customWidth="1"/>
  </cols>
  <sheetData>
    <row r="1" spans="1:17" ht="52.2" customHeight="1" x14ac:dyDescent="0.3">
      <c r="A1" s="95" t="s">
        <v>95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7" x14ac:dyDescent="0.3">
      <c r="A2" s="96"/>
      <c r="B2" s="96"/>
      <c r="C2" s="96"/>
      <c r="D2" s="97" t="s">
        <v>40</v>
      </c>
      <c r="E2" s="97"/>
      <c r="F2" s="97"/>
      <c r="G2" s="97"/>
      <c r="H2" s="97"/>
      <c r="I2" s="97"/>
      <c r="J2" s="97"/>
      <c r="K2" s="97"/>
      <c r="L2" s="97"/>
      <c r="M2" s="14"/>
    </row>
    <row r="3" spans="1:17" ht="57.6" x14ac:dyDescent="0.3">
      <c r="A3" s="1" t="s">
        <v>45</v>
      </c>
      <c r="B3" s="1" t="s">
        <v>0</v>
      </c>
      <c r="C3" s="32" t="s">
        <v>1</v>
      </c>
      <c r="D3" s="2" t="s">
        <v>66</v>
      </c>
      <c r="E3" s="2" t="s">
        <v>62</v>
      </c>
      <c r="F3" s="2" t="s">
        <v>61</v>
      </c>
      <c r="G3" s="2" t="s">
        <v>67</v>
      </c>
      <c r="H3" s="2" t="s">
        <v>2</v>
      </c>
      <c r="I3" s="2" t="s">
        <v>65</v>
      </c>
      <c r="J3" s="2" t="s">
        <v>92</v>
      </c>
      <c r="K3" s="2" t="s">
        <v>63</v>
      </c>
      <c r="L3" s="2" t="s">
        <v>64</v>
      </c>
      <c r="M3" s="52" t="s">
        <v>39</v>
      </c>
    </row>
    <row r="4" spans="1:17" ht="15.6" x14ac:dyDescent="0.3">
      <c r="A4" s="3">
        <v>1</v>
      </c>
      <c r="B4" s="101" t="s">
        <v>3</v>
      </c>
      <c r="C4" s="46" t="s">
        <v>4</v>
      </c>
      <c r="D4" s="47">
        <v>129600</v>
      </c>
      <c r="E4" s="47">
        <v>129600</v>
      </c>
      <c r="F4" s="47">
        <v>144000</v>
      </c>
      <c r="G4" s="47">
        <v>121500</v>
      </c>
      <c r="H4" s="47">
        <v>20000</v>
      </c>
      <c r="I4" s="47">
        <v>44000</v>
      </c>
      <c r="J4" s="47">
        <f>D4</f>
        <v>129600</v>
      </c>
      <c r="K4" s="48">
        <f>(D4+E4+F4+G4+H4+I4+L4+J4)*3/100</f>
        <v>23224.92</v>
      </c>
      <c r="L4" s="47">
        <f>(D4+E4+F4+G4+I4+J4)*8/100</f>
        <v>55864</v>
      </c>
      <c r="M4" s="13">
        <f>SUM(D4:L4)</f>
        <v>797388.92</v>
      </c>
      <c r="N4" s="5"/>
    </row>
    <row r="5" spans="1:17" ht="15.6" x14ac:dyDescent="0.3">
      <c r="A5" s="3"/>
      <c r="B5" s="102"/>
      <c r="C5" s="46" t="s">
        <v>46</v>
      </c>
      <c r="D5" s="47">
        <v>129600</v>
      </c>
      <c r="E5" s="47">
        <v>129600</v>
      </c>
      <c r="F5" s="47">
        <v>144000</v>
      </c>
      <c r="G5" s="47">
        <v>121500</v>
      </c>
      <c r="H5" s="47">
        <v>10000</v>
      </c>
      <c r="I5" s="47">
        <v>22000</v>
      </c>
      <c r="J5" s="47">
        <f>D5</f>
        <v>129600</v>
      </c>
      <c r="K5" s="48">
        <f t="shared" ref="K5:K34" si="0">(D5+E5+F5+G5+H5+I5+L5+J5)*3/100</f>
        <v>22212.12</v>
      </c>
      <c r="L5" s="47">
        <f t="shared" ref="L5:L34" si="1">(D5+E5+F5+G5+I5+J5)*8/100</f>
        <v>54104</v>
      </c>
      <c r="M5" s="13">
        <f t="shared" ref="M5:M34" si="2">SUM(D5:L5)</f>
        <v>762616.12</v>
      </c>
      <c r="N5" s="51"/>
    </row>
    <row r="6" spans="1:17" ht="15.6" x14ac:dyDescent="0.3">
      <c r="A6" s="4">
        <v>2</v>
      </c>
      <c r="B6" s="98" t="s">
        <v>5</v>
      </c>
      <c r="C6" s="39" t="s">
        <v>6</v>
      </c>
      <c r="D6" s="34">
        <v>129600</v>
      </c>
      <c r="E6" s="34">
        <v>129600</v>
      </c>
      <c r="F6" s="34">
        <v>288000</v>
      </c>
      <c r="G6" s="34">
        <v>243000</v>
      </c>
      <c r="H6" s="34">
        <v>20000</v>
      </c>
      <c r="I6" s="34">
        <v>165000</v>
      </c>
      <c r="J6" s="34">
        <f>D6*4</f>
        <v>518400</v>
      </c>
      <c r="K6" s="48">
        <f t="shared" si="0"/>
        <v>48344.639999999999</v>
      </c>
      <c r="L6" s="34">
        <f t="shared" si="1"/>
        <v>117888</v>
      </c>
      <c r="M6" s="13">
        <f t="shared" si="2"/>
        <v>1659832.64</v>
      </c>
      <c r="N6" s="5"/>
    </row>
    <row r="7" spans="1:17" ht="15.6" x14ac:dyDescent="0.3">
      <c r="A7" s="4"/>
      <c r="B7" s="99"/>
      <c r="C7" s="39" t="s">
        <v>48</v>
      </c>
      <c r="D7" s="34">
        <v>129600</v>
      </c>
      <c r="E7" s="34">
        <v>129600</v>
      </c>
      <c r="F7" s="34">
        <v>144000</v>
      </c>
      <c r="G7" s="34">
        <v>121500</v>
      </c>
      <c r="H7" s="34">
        <v>10000</v>
      </c>
      <c r="I7" s="34">
        <v>55000</v>
      </c>
      <c r="J7" s="34">
        <f>D7</f>
        <v>129600</v>
      </c>
      <c r="K7" s="48">
        <f t="shared" si="0"/>
        <v>23281.32</v>
      </c>
      <c r="L7" s="34">
        <f t="shared" si="1"/>
        <v>56744</v>
      </c>
      <c r="M7" s="13">
        <f t="shared" si="2"/>
        <v>799325.32</v>
      </c>
      <c r="N7" s="5"/>
    </row>
    <row r="8" spans="1:17" ht="15.6" x14ac:dyDescent="0.3">
      <c r="A8" s="4">
        <v>3</v>
      </c>
      <c r="B8" s="49" t="s">
        <v>7</v>
      </c>
      <c r="C8" s="46" t="s">
        <v>8</v>
      </c>
      <c r="D8" s="47">
        <v>129600</v>
      </c>
      <c r="E8" s="47">
        <v>129600</v>
      </c>
      <c r="F8" s="50">
        <v>288000</v>
      </c>
      <c r="G8" s="50">
        <v>121500</v>
      </c>
      <c r="H8" s="50">
        <v>30000</v>
      </c>
      <c r="I8" s="50">
        <v>110000</v>
      </c>
      <c r="J8" s="47">
        <f>3*D8</f>
        <v>388800</v>
      </c>
      <c r="K8" s="48">
        <f t="shared" si="0"/>
        <v>38727</v>
      </c>
      <c r="L8" s="47">
        <f t="shared" si="1"/>
        <v>93400</v>
      </c>
      <c r="M8" s="13">
        <f t="shared" si="2"/>
        <v>1329627</v>
      </c>
      <c r="N8" s="5"/>
    </row>
    <row r="9" spans="1:17" s="42" customFormat="1" ht="15.6" x14ac:dyDescent="0.3">
      <c r="A9" s="38">
        <v>4</v>
      </c>
      <c r="B9" s="44" t="s">
        <v>9</v>
      </c>
      <c r="C9" s="39" t="s">
        <v>10</v>
      </c>
      <c r="D9" s="34">
        <v>129600</v>
      </c>
      <c r="E9" s="34">
        <v>129600</v>
      </c>
      <c r="F9" s="34">
        <v>288000</v>
      </c>
      <c r="G9" s="34">
        <v>364500</v>
      </c>
      <c r="H9" s="34">
        <v>30000</v>
      </c>
      <c r="I9" s="34">
        <v>330000</v>
      </c>
      <c r="J9" s="47">
        <f>3*D9</f>
        <v>388800</v>
      </c>
      <c r="K9" s="48">
        <f t="shared" si="0"/>
        <v>53728.2</v>
      </c>
      <c r="L9" s="47">
        <f t="shared" si="1"/>
        <v>130440</v>
      </c>
      <c r="M9" s="13">
        <f t="shared" si="2"/>
        <v>1844668.2</v>
      </c>
      <c r="N9" s="40"/>
      <c r="O9"/>
      <c r="P9"/>
      <c r="Q9"/>
    </row>
    <row r="10" spans="1:17" ht="15.6" x14ac:dyDescent="0.3">
      <c r="A10" s="4">
        <v>5</v>
      </c>
      <c r="B10" s="49" t="s">
        <v>11</v>
      </c>
      <c r="C10" s="46" t="s">
        <v>12</v>
      </c>
      <c r="D10" s="47">
        <v>129600</v>
      </c>
      <c r="E10" s="47">
        <v>129600</v>
      </c>
      <c r="F10" s="48">
        <v>144000</v>
      </c>
      <c r="G10" s="48">
        <v>121500</v>
      </c>
      <c r="H10" s="48">
        <v>30000</v>
      </c>
      <c r="I10" s="48">
        <v>77000</v>
      </c>
      <c r="J10" s="47">
        <f>D10*2</f>
        <v>259200</v>
      </c>
      <c r="K10" s="48">
        <f t="shared" si="0"/>
        <v>28793.16</v>
      </c>
      <c r="L10" s="47">
        <f t="shared" si="1"/>
        <v>68872</v>
      </c>
      <c r="M10" s="13">
        <f t="shared" si="2"/>
        <v>988565.16</v>
      </c>
      <c r="N10" s="5"/>
    </row>
    <row r="11" spans="1:17" ht="15.6" x14ac:dyDescent="0.3">
      <c r="A11" s="4">
        <v>6</v>
      </c>
      <c r="B11" s="98" t="s">
        <v>13</v>
      </c>
      <c r="C11" s="39" t="s">
        <v>14</v>
      </c>
      <c r="D11" s="34">
        <v>129600</v>
      </c>
      <c r="E11" s="34">
        <v>129600</v>
      </c>
      <c r="F11" s="34">
        <v>288000</v>
      </c>
      <c r="G11" s="34">
        <v>729000</v>
      </c>
      <c r="H11" s="34">
        <v>20000</v>
      </c>
      <c r="I11" s="34">
        <v>110000</v>
      </c>
      <c r="J11" s="34">
        <f>D11*3</f>
        <v>388800</v>
      </c>
      <c r="K11" s="48">
        <f t="shared" si="0"/>
        <v>58110</v>
      </c>
      <c r="L11" s="34">
        <f t="shared" si="1"/>
        <v>142000</v>
      </c>
      <c r="M11" s="13">
        <f t="shared" si="2"/>
        <v>1995110</v>
      </c>
      <c r="N11" s="5"/>
    </row>
    <row r="12" spans="1:17" ht="15.6" x14ac:dyDescent="0.3">
      <c r="A12" s="4"/>
      <c r="B12" s="99"/>
      <c r="C12" s="39" t="s">
        <v>47</v>
      </c>
      <c r="D12" s="34">
        <v>129600</v>
      </c>
      <c r="E12" s="34">
        <v>129600</v>
      </c>
      <c r="F12" s="34">
        <v>144000</v>
      </c>
      <c r="G12" s="34">
        <v>121500</v>
      </c>
      <c r="H12" s="34">
        <v>10000</v>
      </c>
      <c r="I12" s="34">
        <v>55000</v>
      </c>
      <c r="J12" s="34">
        <f>D12</f>
        <v>129600</v>
      </c>
      <c r="K12" s="48">
        <f t="shared" si="0"/>
        <v>23281.32</v>
      </c>
      <c r="L12" s="34">
        <f t="shared" si="1"/>
        <v>56744</v>
      </c>
      <c r="M12" s="13">
        <f t="shared" si="2"/>
        <v>799325.32</v>
      </c>
      <c r="N12" s="5"/>
    </row>
    <row r="13" spans="1:17" ht="15.6" x14ac:dyDescent="0.3">
      <c r="A13" s="3">
        <v>7</v>
      </c>
      <c r="B13" s="49" t="s">
        <v>15</v>
      </c>
      <c r="C13" s="46" t="s">
        <v>16</v>
      </c>
      <c r="D13" s="47">
        <v>129600</v>
      </c>
      <c r="E13" s="47">
        <v>129600</v>
      </c>
      <c r="F13" s="50">
        <v>288000</v>
      </c>
      <c r="G13" s="50">
        <v>243000</v>
      </c>
      <c r="H13" s="50">
        <v>30000</v>
      </c>
      <c r="I13" s="50">
        <v>385000</v>
      </c>
      <c r="J13" s="47">
        <f>D13*2</f>
        <v>259200</v>
      </c>
      <c r="K13" s="48">
        <f t="shared" si="0"/>
        <v>47374.559999999998</v>
      </c>
      <c r="L13" s="47">
        <f t="shared" si="1"/>
        <v>114752</v>
      </c>
      <c r="M13" s="13">
        <f t="shared" si="2"/>
        <v>1626526.56</v>
      </c>
      <c r="N13" s="5"/>
    </row>
    <row r="14" spans="1:17" ht="15.6" x14ac:dyDescent="0.3">
      <c r="A14" s="4">
        <v>8</v>
      </c>
      <c r="B14" s="44" t="s">
        <v>17</v>
      </c>
      <c r="C14" s="39" t="s">
        <v>18</v>
      </c>
      <c r="D14" s="34">
        <v>129600</v>
      </c>
      <c r="E14" s="34">
        <v>129600</v>
      </c>
      <c r="F14" s="34">
        <v>144000</v>
      </c>
      <c r="G14" s="34">
        <v>243000</v>
      </c>
      <c r="H14" s="34">
        <v>30000</v>
      </c>
      <c r="I14" s="34">
        <v>55000</v>
      </c>
      <c r="J14" s="34">
        <f>D13</f>
        <v>129600</v>
      </c>
      <c r="K14" s="48">
        <f t="shared" si="0"/>
        <v>27817.919999999998</v>
      </c>
      <c r="L14" s="34">
        <f t="shared" si="1"/>
        <v>66464</v>
      </c>
      <c r="M14" s="13">
        <f t="shared" si="2"/>
        <v>955081.92</v>
      </c>
      <c r="N14" s="5"/>
    </row>
    <row r="15" spans="1:17" ht="15.6" x14ac:dyDescent="0.3">
      <c r="A15" s="4">
        <v>9</v>
      </c>
      <c r="B15" s="49" t="s">
        <v>19</v>
      </c>
      <c r="C15" s="46" t="s">
        <v>20</v>
      </c>
      <c r="D15" s="47">
        <v>129600</v>
      </c>
      <c r="E15" s="47">
        <v>129600</v>
      </c>
      <c r="F15" s="47">
        <v>288000</v>
      </c>
      <c r="G15" s="47">
        <v>121500</v>
      </c>
      <c r="H15" s="47">
        <v>30000</v>
      </c>
      <c r="I15" s="47">
        <v>22000</v>
      </c>
      <c r="J15" s="47">
        <f>D14</f>
        <v>129600</v>
      </c>
      <c r="K15" s="48">
        <f t="shared" si="0"/>
        <v>27477.72</v>
      </c>
      <c r="L15" s="47">
        <f t="shared" si="1"/>
        <v>65624</v>
      </c>
      <c r="M15" s="13">
        <f t="shared" si="2"/>
        <v>943401.72</v>
      </c>
      <c r="N15" s="5"/>
    </row>
    <row r="16" spans="1:17" ht="15.6" x14ac:dyDescent="0.3">
      <c r="A16" s="3">
        <v>10</v>
      </c>
      <c r="B16" s="98" t="s">
        <v>21</v>
      </c>
      <c r="C16" s="39" t="s">
        <v>22</v>
      </c>
      <c r="D16" s="34">
        <v>129600</v>
      </c>
      <c r="E16" s="34">
        <v>129600</v>
      </c>
      <c r="F16" s="34">
        <v>288000</v>
      </c>
      <c r="G16" s="34">
        <v>121500</v>
      </c>
      <c r="H16" s="34">
        <v>20000</v>
      </c>
      <c r="I16" s="34">
        <v>165000</v>
      </c>
      <c r="J16" s="34">
        <f>D16</f>
        <v>129600</v>
      </c>
      <c r="K16" s="48">
        <f t="shared" si="0"/>
        <v>31810.92</v>
      </c>
      <c r="L16" s="34">
        <f t="shared" si="1"/>
        <v>77064</v>
      </c>
      <c r="M16" s="13">
        <f t="shared" si="2"/>
        <v>1092174.92</v>
      </c>
      <c r="N16" s="5"/>
    </row>
    <row r="17" spans="1:15" ht="15.6" x14ac:dyDescent="0.3">
      <c r="A17" s="3"/>
      <c r="B17" s="99"/>
      <c r="C17" s="39" t="s">
        <v>12</v>
      </c>
      <c r="D17" s="34">
        <v>129600</v>
      </c>
      <c r="E17" s="34">
        <v>129600</v>
      </c>
      <c r="F17" s="34">
        <v>144000</v>
      </c>
      <c r="G17" s="34">
        <v>121500</v>
      </c>
      <c r="H17" s="34">
        <v>10000</v>
      </c>
      <c r="I17" s="34">
        <v>55000</v>
      </c>
      <c r="J17" s="34">
        <f>D17</f>
        <v>129600</v>
      </c>
      <c r="K17" s="48">
        <f t="shared" si="0"/>
        <v>23281.32</v>
      </c>
      <c r="L17" s="34">
        <f t="shared" si="1"/>
        <v>56744</v>
      </c>
      <c r="M17" s="13">
        <f t="shared" si="2"/>
        <v>799325.32</v>
      </c>
      <c r="N17" s="5"/>
    </row>
    <row r="18" spans="1:15" ht="15.6" x14ac:dyDescent="0.3">
      <c r="A18" s="4">
        <v>11</v>
      </c>
      <c r="B18" s="49" t="s">
        <v>23</v>
      </c>
      <c r="C18" s="46" t="s">
        <v>16</v>
      </c>
      <c r="D18" s="47">
        <v>129600</v>
      </c>
      <c r="E18" s="47">
        <v>129600</v>
      </c>
      <c r="F18" s="47">
        <v>288000</v>
      </c>
      <c r="G18" s="47">
        <v>1093500</v>
      </c>
      <c r="H18" s="47">
        <v>30000</v>
      </c>
      <c r="I18" s="47">
        <v>110000</v>
      </c>
      <c r="J18" s="47">
        <f>5*D18</f>
        <v>648000</v>
      </c>
      <c r="K18" s="48">
        <f t="shared" si="0"/>
        <v>78617.88</v>
      </c>
      <c r="L18" s="47">
        <f t="shared" si="1"/>
        <v>191896</v>
      </c>
      <c r="M18" s="13">
        <f t="shared" si="2"/>
        <v>2699213.88</v>
      </c>
      <c r="N18" s="5"/>
    </row>
    <row r="19" spans="1:15" ht="15.6" x14ac:dyDescent="0.3">
      <c r="A19" s="4">
        <v>12</v>
      </c>
      <c r="B19" s="44" t="s">
        <v>24</v>
      </c>
      <c r="C19" s="39" t="s">
        <v>48</v>
      </c>
      <c r="D19" s="34">
        <v>129600</v>
      </c>
      <c r="E19" s="34">
        <v>129600</v>
      </c>
      <c r="F19" s="34">
        <v>288000</v>
      </c>
      <c r="G19" s="34">
        <v>243000</v>
      </c>
      <c r="H19" s="34">
        <v>30000</v>
      </c>
      <c r="I19" s="34">
        <v>209000</v>
      </c>
      <c r="J19" s="34">
        <f>3*D19</f>
        <v>388800</v>
      </c>
      <c r="K19" s="48">
        <f t="shared" si="0"/>
        <v>45871.199999999997</v>
      </c>
      <c r="L19" s="34">
        <f t="shared" si="1"/>
        <v>111040</v>
      </c>
      <c r="M19" s="13">
        <f t="shared" si="2"/>
        <v>1574911.2</v>
      </c>
      <c r="N19" s="5"/>
    </row>
    <row r="20" spans="1:15" ht="15.6" x14ac:dyDescent="0.3">
      <c r="A20" s="3">
        <v>13</v>
      </c>
      <c r="B20" s="49" t="s">
        <v>26</v>
      </c>
      <c r="C20" s="46" t="s">
        <v>12</v>
      </c>
      <c r="D20" s="47">
        <v>129600</v>
      </c>
      <c r="E20" s="47">
        <v>129600</v>
      </c>
      <c r="F20" s="47">
        <v>288000</v>
      </c>
      <c r="G20" s="47">
        <v>121500</v>
      </c>
      <c r="H20" s="47">
        <v>30000</v>
      </c>
      <c r="I20" s="47">
        <v>165000</v>
      </c>
      <c r="J20" s="47">
        <f>D19*5</f>
        <v>648000</v>
      </c>
      <c r="K20" s="48">
        <f t="shared" si="0"/>
        <v>48907.08</v>
      </c>
      <c r="L20" s="47">
        <f t="shared" si="1"/>
        <v>118536</v>
      </c>
      <c r="M20" s="13">
        <f t="shared" si="2"/>
        <v>1679143.08</v>
      </c>
      <c r="N20" s="5"/>
    </row>
    <row r="21" spans="1:15" ht="15.6" x14ac:dyDescent="0.3">
      <c r="A21" s="4">
        <v>14</v>
      </c>
      <c r="B21" s="44" t="s">
        <v>27</v>
      </c>
      <c r="C21" s="39" t="s">
        <v>18</v>
      </c>
      <c r="D21" s="34">
        <v>129600</v>
      </c>
      <c r="E21" s="34">
        <v>129600</v>
      </c>
      <c r="F21" s="34">
        <v>288000</v>
      </c>
      <c r="G21" s="34">
        <v>121500</v>
      </c>
      <c r="H21" s="34">
        <v>30000</v>
      </c>
      <c r="I21" s="34">
        <v>198000</v>
      </c>
      <c r="J21" s="34">
        <f>D21*2</f>
        <v>259200</v>
      </c>
      <c r="K21" s="48">
        <f t="shared" si="0"/>
        <v>37379.160000000003</v>
      </c>
      <c r="L21" s="34">
        <f t="shared" si="1"/>
        <v>90072</v>
      </c>
      <c r="M21" s="13">
        <f t="shared" si="2"/>
        <v>1283351.1599999999</v>
      </c>
      <c r="N21" s="5"/>
    </row>
    <row r="22" spans="1:15" ht="15.6" x14ac:dyDescent="0.3">
      <c r="A22" s="4">
        <v>15</v>
      </c>
      <c r="B22" s="49" t="s">
        <v>28</v>
      </c>
      <c r="C22" s="46" t="s">
        <v>16</v>
      </c>
      <c r="D22" s="47">
        <v>129600</v>
      </c>
      <c r="E22" s="47">
        <v>129600</v>
      </c>
      <c r="F22" s="47">
        <v>144000</v>
      </c>
      <c r="G22" s="47">
        <v>972000</v>
      </c>
      <c r="H22" s="47">
        <v>30000</v>
      </c>
      <c r="I22" s="47">
        <v>275000</v>
      </c>
      <c r="J22" s="47">
        <f>D22*2</f>
        <v>259200</v>
      </c>
      <c r="K22" s="48">
        <f t="shared" si="0"/>
        <v>62764.56</v>
      </c>
      <c r="L22" s="47">
        <f t="shared" si="1"/>
        <v>152752</v>
      </c>
      <c r="M22" s="13">
        <f t="shared" si="2"/>
        <v>2154916.56</v>
      </c>
      <c r="N22" s="5"/>
    </row>
    <row r="23" spans="1:15" ht="15.6" x14ac:dyDescent="0.3">
      <c r="A23" s="3">
        <v>16</v>
      </c>
      <c r="B23" s="44" t="s">
        <v>29</v>
      </c>
      <c r="C23" s="39" t="s">
        <v>16</v>
      </c>
      <c r="D23" s="34">
        <v>129600</v>
      </c>
      <c r="E23" s="34">
        <v>129600</v>
      </c>
      <c r="F23" s="41">
        <v>144000</v>
      </c>
      <c r="G23" s="41">
        <v>121500</v>
      </c>
      <c r="H23" s="41">
        <v>30000</v>
      </c>
      <c r="I23" s="41">
        <v>77000</v>
      </c>
      <c r="J23" s="34">
        <f>D22</f>
        <v>129600</v>
      </c>
      <c r="K23" s="48">
        <f t="shared" si="0"/>
        <v>24594.12</v>
      </c>
      <c r="L23" s="34">
        <f t="shared" si="1"/>
        <v>58504</v>
      </c>
      <c r="M23" s="13">
        <f t="shared" si="2"/>
        <v>844398.12</v>
      </c>
      <c r="N23" s="5"/>
    </row>
    <row r="24" spans="1:15" ht="15.6" x14ac:dyDescent="0.3">
      <c r="A24" s="4">
        <v>17</v>
      </c>
      <c r="B24" s="101" t="s">
        <v>30</v>
      </c>
      <c r="C24" s="46" t="s">
        <v>16</v>
      </c>
      <c r="D24" s="47">
        <v>129600</v>
      </c>
      <c r="E24" s="47">
        <v>129600</v>
      </c>
      <c r="F24" s="47">
        <v>144000</v>
      </c>
      <c r="G24" s="47">
        <v>121500</v>
      </c>
      <c r="H24" s="47">
        <v>20000</v>
      </c>
      <c r="I24" s="47">
        <v>22000</v>
      </c>
      <c r="J24" s="47">
        <f>D23</f>
        <v>129600</v>
      </c>
      <c r="K24" s="48">
        <f t="shared" si="0"/>
        <v>22512.12</v>
      </c>
      <c r="L24" s="47">
        <f t="shared" si="1"/>
        <v>54104</v>
      </c>
      <c r="M24" s="13">
        <f t="shared" si="2"/>
        <v>772916.12</v>
      </c>
      <c r="N24" s="5"/>
    </row>
    <row r="25" spans="1:15" ht="15.6" x14ac:dyDescent="0.3">
      <c r="A25" s="4"/>
      <c r="B25" s="102"/>
      <c r="C25" s="46" t="s">
        <v>47</v>
      </c>
      <c r="D25" s="47">
        <v>129600</v>
      </c>
      <c r="E25" s="47">
        <v>129600</v>
      </c>
      <c r="F25" s="47">
        <v>144000</v>
      </c>
      <c r="G25" s="47">
        <v>121500</v>
      </c>
      <c r="H25" s="47">
        <v>10000</v>
      </c>
      <c r="I25" s="47">
        <v>11000</v>
      </c>
      <c r="J25" s="47">
        <f>D25</f>
        <v>129600</v>
      </c>
      <c r="K25" s="48">
        <f t="shared" si="0"/>
        <v>21855.72</v>
      </c>
      <c r="L25" s="47">
        <f t="shared" si="1"/>
        <v>53224</v>
      </c>
      <c r="M25" s="13">
        <f t="shared" si="2"/>
        <v>750379.72</v>
      </c>
      <c r="N25" s="5"/>
    </row>
    <row r="26" spans="1:15" ht="15.6" x14ac:dyDescent="0.3">
      <c r="A26" s="4">
        <v>18</v>
      </c>
      <c r="B26" s="44" t="s">
        <v>31</v>
      </c>
      <c r="C26" s="39" t="s">
        <v>16</v>
      </c>
      <c r="D26" s="34">
        <v>129600</v>
      </c>
      <c r="E26" s="34">
        <v>129600</v>
      </c>
      <c r="F26" s="45">
        <v>144000</v>
      </c>
      <c r="G26" s="45">
        <v>121500</v>
      </c>
      <c r="H26" s="45">
        <v>30000</v>
      </c>
      <c r="I26" s="45">
        <v>22000</v>
      </c>
      <c r="J26" s="34">
        <f>D25</f>
        <v>129600</v>
      </c>
      <c r="K26" s="48">
        <f t="shared" si="0"/>
        <v>22812.12</v>
      </c>
      <c r="L26" s="34">
        <f t="shared" si="1"/>
        <v>54104</v>
      </c>
      <c r="M26" s="13">
        <f t="shared" si="2"/>
        <v>783216.12</v>
      </c>
      <c r="N26" s="5"/>
    </row>
    <row r="27" spans="1:15" ht="15.6" x14ac:dyDescent="0.3">
      <c r="A27" s="3">
        <v>19</v>
      </c>
      <c r="B27" s="49" t="s">
        <v>32</v>
      </c>
      <c r="C27" s="46" t="s">
        <v>16</v>
      </c>
      <c r="D27" s="47">
        <v>129600</v>
      </c>
      <c r="E27" s="47">
        <v>129600</v>
      </c>
      <c r="F27" s="50">
        <v>144000</v>
      </c>
      <c r="G27" s="47">
        <v>364500</v>
      </c>
      <c r="H27" s="47">
        <v>30000</v>
      </c>
      <c r="I27" s="47">
        <v>187000</v>
      </c>
      <c r="J27" s="47">
        <f>D27*2</f>
        <v>259200</v>
      </c>
      <c r="K27" s="48">
        <f t="shared" si="0"/>
        <v>40230.36</v>
      </c>
      <c r="L27" s="47">
        <f t="shared" si="1"/>
        <v>97112</v>
      </c>
      <c r="M27" s="13">
        <f t="shared" si="2"/>
        <v>1381242.36</v>
      </c>
      <c r="N27" s="5"/>
    </row>
    <row r="28" spans="1:15" ht="15.6" x14ac:dyDescent="0.3">
      <c r="A28" s="4">
        <v>20</v>
      </c>
      <c r="B28" s="44" t="s">
        <v>33</v>
      </c>
      <c r="C28" s="39" t="s">
        <v>6</v>
      </c>
      <c r="D28" s="34">
        <v>129600</v>
      </c>
      <c r="E28" s="34">
        <v>129600</v>
      </c>
      <c r="F28" s="45">
        <v>144000</v>
      </c>
      <c r="G28" s="34">
        <v>364500</v>
      </c>
      <c r="H28" s="34">
        <v>30000</v>
      </c>
      <c r="I28" s="34">
        <v>132000</v>
      </c>
      <c r="J28" s="34">
        <f>D27</f>
        <v>129600</v>
      </c>
      <c r="K28" s="48">
        <f t="shared" si="0"/>
        <v>34249.32</v>
      </c>
      <c r="L28" s="34">
        <f t="shared" si="1"/>
        <v>82344</v>
      </c>
      <c r="M28" s="13">
        <f t="shared" si="2"/>
        <v>1175893.32</v>
      </c>
      <c r="N28" s="5"/>
    </row>
    <row r="29" spans="1:15" ht="15.6" x14ac:dyDescent="0.3">
      <c r="A29" s="4">
        <v>21</v>
      </c>
      <c r="B29" s="49" t="s">
        <v>34</v>
      </c>
      <c r="C29" s="46" t="s">
        <v>16</v>
      </c>
      <c r="D29" s="47">
        <v>129600</v>
      </c>
      <c r="E29" s="47">
        <v>129600</v>
      </c>
      <c r="F29" s="50">
        <v>144000</v>
      </c>
      <c r="G29" s="48">
        <v>121500</v>
      </c>
      <c r="H29" s="48">
        <v>30000</v>
      </c>
      <c r="I29" s="48">
        <v>22000</v>
      </c>
      <c r="J29" s="47">
        <f>D28</f>
        <v>129600</v>
      </c>
      <c r="K29" s="48">
        <f t="shared" si="0"/>
        <v>22812.12</v>
      </c>
      <c r="L29" s="47">
        <f t="shared" si="1"/>
        <v>54104</v>
      </c>
      <c r="M29" s="13">
        <f t="shared" si="2"/>
        <v>783216.12</v>
      </c>
      <c r="N29" s="5"/>
    </row>
    <row r="30" spans="1:15" s="42" customFormat="1" ht="15.6" x14ac:dyDescent="0.3">
      <c r="A30" s="38">
        <v>22</v>
      </c>
      <c r="B30" s="98" t="s">
        <v>35</v>
      </c>
      <c r="C30" s="39" t="s">
        <v>16</v>
      </c>
      <c r="D30" s="34">
        <v>129600</v>
      </c>
      <c r="E30" s="34">
        <v>129600</v>
      </c>
      <c r="F30" s="34">
        <v>432000</v>
      </c>
      <c r="G30" s="34">
        <v>3037500</v>
      </c>
      <c r="H30" s="34">
        <v>20000</v>
      </c>
      <c r="I30" s="34">
        <f>385000-I31</f>
        <v>313000</v>
      </c>
      <c r="J30" s="34">
        <f>6*D27</f>
        <v>777600</v>
      </c>
      <c r="K30" s="48">
        <f t="shared" si="0"/>
        <v>156745.32</v>
      </c>
      <c r="L30" s="34">
        <f t="shared" si="1"/>
        <v>385544</v>
      </c>
      <c r="M30" s="13">
        <f t="shared" si="2"/>
        <v>5381589.3200000003</v>
      </c>
      <c r="N30" s="5"/>
    </row>
    <row r="31" spans="1:15" s="42" customFormat="1" ht="15.6" x14ac:dyDescent="0.3">
      <c r="A31" s="38"/>
      <c r="B31" s="99"/>
      <c r="C31" s="39" t="s">
        <v>47</v>
      </c>
      <c r="D31" s="34">
        <v>129600</v>
      </c>
      <c r="E31" s="34">
        <f>E30</f>
        <v>129600</v>
      </c>
      <c r="F31" s="45">
        <v>144000</v>
      </c>
      <c r="G31" s="34">
        <v>121500</v>
      </c>
      <c r="H31" s="34">
        <v>10000</v>
      </c>
      <c r="I31" s="34">
        <v>72000</v>
      </c>
      <c r="J31" s="34">
        <f>D31</f>
        <v>129600</v>
      </c>
      <c r="K31" s="48">
        <f t="shared" si="0"/>
        <v>23832.12</v>
      </c>
      <c r="L31" s="34">
        <f t="shared" si="1"/>
        <v>58104</v>
      </c>
      <c r="M31" s="13">
        <f t="shared" si="2"/>
        <v>818236.12</v>
      </c>
      <c r="N31" s="5"/>
      <c r="O31" s="40"/>
    </row>
    <row r="32" spans="1:15" ht="15.6" x14ac:dyDescent="0.3">
      <c r="A32" s="4">
        <v>23</v>
      </c>
      <c r="B32" s="49" t="s">
        <v>36</v>
      </c>
      <c r="C32" s="46" t="s">
        <v>18</v>
      </c>
      <c r="D32" s="47">
        <v>129600</v>
      </c>
      <c r="E32" s="47">
        <v>129600</v>
      </c>
      <c r="F32" s="50">
        <v>288000</v>
      </c>
      <c r="G32" s="50">
        <v>121500</v>
      </c>
      <c r="H32" s="50">
        <v>30000</v>
      </c>
      <c r="I32" s="50">
        <v>77000</v>
      </c>
      <c r="J32" s="47">
        <f>D32*2</f>
        <v>259200</v>
      </c>
      <c r="K32" s="48">
        <f t="shared" si="0"/>
        <v>33458.76</v>
      </c>
      <c r="L32" s="47">
        <f t="shared" si="1"/>
        <v>80392</v>
      </c>
      <c r="M32" s="13">
        <f t="shared" si="2"/>
        <v>1148750.76</v>
      </c>
      <c r="N32" s="5"/>
    </row>
    <row r="33" spans="1:14" ht="15.6" x14ac:dyDescent="0.3">
      <c r="A33" s="4">
        <v>24</v>
      </c>
      <c r="B33" s="44" t="s">
        <v>37</v>
      </c>
      <c r="C33" s="39" t="s">
        <v>16</v>
      </c>
      <c r="D33" s="34">
        <v>129600</v>
      </c>
      <c r="E33" s="34">
        <v>129600</v>
      </c>
      <c r="F33" s="45">
        <v>144000</v>
      </c>
      <c r="G33" s="34">
        <v>121500</v>
      </c>
      <c r="H33" s="34">
        <v>30000</v>
      </c>
      <c r="I33" s="34">
        <v>66000</v>
      </c>
      <c r="J33" s="34">
        <f>D33*2</f>
        <v>259200</v>
      </c>
      <c r="K33" s="48">
        <f t="shared" si="0"/>
        <v>28436.76</v>
      </c>
      <c r="L33" s="34">
        <f t="shared" si="1"/>
        <v>67992</v>
      </c>
      <c r="M33" s="13">
        <f t="shared" si="2"/>
        <v>976328.76</v>
      </c>
      <c r="N33" s="5"/>
    </row>
    <row r="34" spans="1:14" ht="15.6" x14ac:dyDescent="0.3">
      <c r="A34" s="3">
        <v>25</v>
      </c>
      <c r="B34" s="49" t="s">
        <v>38</v>
      </c>
      <c r="C34" s="46" t="s">
        <v>6</v>
      </c>
      <c r="D34" s="47">
        <v>129600</v>
      </c>
      <c r="E34" s="47">
        <v>129600</v>
      </c>
      <c r="F34" s="47">
        <v>432000</v>
      </c>
      <c r="G34" s="47">
        <v>3402000</v>
      </c>
      <c r="H34" s="47">
        <v>30000</v>
      </c>
      <c r="I34" s="47">
        <v>440000</v>
      </c>
      <c r="J34" s="47">
        <f>6*D34</f>
        <v>777600</v>
      </c>
      <c r="K34" s="48">
        <f t="shared" si="0"/>
        <v>172969.92</v>
      </c>
      <c r="L34" s="47">
        <f t="shared" si="1"/>
        <v>424864</v>
      </c>
      <c r="M34" s="13">
        <f t="shared" si="2"/>
        <v>5938633.9199999999</v>
      </c>
      <c r="N34" s="5"/>
    </row>
    <row r="35" spans="1:14" ht="15.6" x14ac:dyDescent="0.3">
      <c r="A35" s="100" t="s">
        <v>39</v>
      </c>
      <c r="B35" s="100"/>
      <c r="C35" s="100"/>
      <c r="D35" s="8">
        <f>SUM(D4:D34)</f>
        <v>4017600</v>
      </c>
      <c r="E35" s="8">
        <f t="shared" ref="E35:H35" si="3">SUM(E4:E34)</f>
        <v>4017600</v>
      </c>
      <c r="F35" s="8">
        <f t="shared" si="3"/>
        <v>6768000</v>
      </c>
      <c r="G35" s="8">
        <f>SUM(G4:G34)</f>
        <v>13608000</v>
      </c>
      <c r="H35" s="8">
        <f t="shared" si="3"/>
        <v>750000</v>
      </c>
      <c r="I35" s="8">
        <f t="shared" ref="I35:M35" si="4">SUM(I4:I34)</f>
        <v>4048000</v>
      </c>
      <c r="J35" s="8">
        <f t="shared" si="4"/>
        <v>8683200</v>
      </c>
      <c r="K35" s="8">
        <f t="shared" si="4"/>
        <v>1355513.76</v>
      </c>
      <c r="L35" s="8">
        <f t="shared" si="4"/>
        <v>3291392</v>
      </c>
      <c r="M35" s="76">
        <f t="shared" si="4"/>
        <v>46539305.759999998</v>
      </c>
    </row>
    <row r="36" spans="1:14" x14ac:dyDescent="0.3">
      <c r="F36" s="5"/>
    </row>
    <row r="37" spans="1:14" x14ac:dyDescent="0.3">
      <c r="E37" s="5"/>
      <c r="I37" s="5"/>
      <c r="J37" s="5"/>
      <c r="K37" s="5"/>
      <c r="L37" s="5"/>
      <c r="M37" s="5"/>
    </row>
    <row r="38" spans="1:14" x14ac:dyDescent="0.3">
      <c r="E38" s="5"/>
      <c r="J38" s="5"/>
    </row>
    <row r="39" spans="1:14" x14ac:dyDescent="0.3">
      <c r="E39" s="5"/>
    </row>
    <row r="40" spans="1:14" x14ac:dyDescent="0.3">
      <c r="E40" s="5"/>
    </row>
    <row r="41" spans="1:14" x14ac:dyDescent="0.3">
      <c r="E41" s="5"/>
    </row>
  </sheetData>
  <autoFilter ref="A3:M35" xr:uid="{00000000-0009-0000-0000-000000000000}"/>
  <mergeCells count="10">
    <mergeCell ref="A1:M1"/>
    <mergeCell ref="A2:C2"/>
    <mergeCell ref="D2:L2"/>
    <mergeCell ref="B16:B17"/>
    <mergeCell ref="A35:C35"/>
    <mergeCell ref="B4:B5"/>
    <mergeCell ref="B11:B12"/>
    <mergeCell ref="B30:B31"/>
    <mergeCell ref="B24:B25"/>
    <mergeCell ref="B6:B7"/>
  </mergeCells>
  <pageMargins left="0.7" right="0.7" top="0.75" bottom="0.75" header="0.3" footer="0.3"/>
  <pageSetup paperSize="9" orientation="portrait" r:id="rId1"/>
  <ignoredErrors>
    <ignoredError sqref="J6 J25 J27" 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6"/>
  <sheetViews>
    <sheetView workbookViewId="0">
      <selection activeCell="A3" sqref="A3:B16"/>
    </sheetView>
  </sheetViews>
  <sheetFormatPr defaultRowHeight="14.4" x14ac:dyDescent="0.3"/>
  <cols>
    <col min="1" max="1" width="21.88671875" bestFit="1" customWidth="1"/>
    <col min="2" max="2" width="16.33203125" bestFit="1" customWidth="1"/>
  </cols>
  <sheetData>
    <row r="1" spans="1:3" x14ac:dyDescent="0.3">
      <c r="A1" s="112" t="s">
        <v>75</v>
      </c>
      <c r="B1" s="112"/>
      <c r="C1" s="112"/>
    </row>
    <row r="2" spans="1:3" x14ac:dyDescent="0.3">
      <c r="A2" s="72" t="s">
        <v>87</v>
      </c>
      <c r="B2" s="72" t="s">
        <v>88</v>
      </c>
      <c r="C2" s="73" t="s">
        <v>44</v>
      </c>
    </row>
    <row r="3" spans="1:3" x14ac:dyDescent="0.3">
      <c r="A3" s="12" t="s">
        <v>48</v>
      </c>
      <c r="B3" s="6">
        <v>2374236.52</v>
      </c>
      <c r="C3" s="74">
        <f>GETPIVOTDATA("ΣΥΝΟΛΟ",A2,"ΠΕΠ","ΑΝΑΤ. ΜΑΚ ΘΡΑΚΗΣ")/GETPIVOTDATA("ΣΥΝΟΛΟ",$A$2)</f>
        <v>5.1015727055400743E-2</v>
      </c>
    </row>
    <row r="4" spans="1:3" x14ac:dyDescent="0.3">
      <c r="A4" s="12" t="s">
        <v>16</v>
      </c>
      <c r="B4" s="6">
        <v>17403563.919999998</v>
      </c>
      <c r="C4" s="74">
        <f>GETPIVOTDATA("ΣΥΝΟΛΟ",$A$2,"ΠΕΠ","ΑΤΤΙΚΗΣ ")/GETPIVOTDATA("ΣΥΝΟΛΟ",$A$2)</f>
        <v>0.37395409398131074</v>
      </c>
    </row>
    <row r="5" spans="1:3" x14ac:dyDescent="0.3">
      <c r="A5" s="12" t="s">
        <v>4</v>
      </c>
      <c r="B5" s="6">
        <v>797388.92</v>
      </c>
      <c r="C5" s="74">
        <f>GETPIVOTDATA("ΣΥΝΟΛΟ",$A$2,"ΠΕΠ","ΒΟΡΕΙΟΥ ΑΙΓΑΙΟΥ")/GETPIVOTDATA("ΣΥΝΟΛΟ",$A$2)</f>
        <v>1.7133665983589865E-2</v>
      </c>
    </row>
    <row r="6" spans="1:3" x14ac:dyDescent="0.3">
      <c r="A6" s="12" t="s">
        <v>12</v>
      </c>
      <c r="B6" s="6">
        <v>3467033.56</v>
      </c>
      <c r="C6" s="74">
        <f>GETPIVOTDATA("ΣΥΝΟΛΟ",$A$2,"ΠΕΠ","ΔΥΤΙΚΗΣ ΕΛΛΑΔΑΣ")/GETPIVOTDATA("ΣΥΝΟΛΟ",$A$2)</f>
        <v>7.4496890389367937E-2</v>
      </c>
    </row>
    <row r="7" spans="1:3" x14ac:dyDescent="0.3">
      <c r="A7" s="12" t="s">
        <v>8</v>
      </c>
      <c r="B7" s="6">
        <v>1329627</v>
      </c>
      <c r="C7" s="74">
        <f>GETPIVOTDATA("ΣΥΝΟΛΟ",$A$2,"ΠΕΠ","ΔΥΤΙΚΗΣ ΜΑΚΕΔΟΝΙΑΣ")/GETPIVOTDATA("ΣΥΝΟΛΟ",$A$2)</f>
        <v>2.8569979252737351E-2</v>
      </c>
    </row>
    <row r="8" spans="1:3" x14ac:dyDescent="0.3">
      <c r="A8" s="12" t="s">
        <v>10</v>
      </c>
      <c r="B8" s="6">
        <v>1844668.2</v>
      </c>
      <c r="C8" s="74">
        <f>GETPIVOTDATA("ΣΥΝΟΛΟ",$A$2,"ΠΕΠ","ΗΠΕΙΡΟΥ")/GETPIVOTDATA("ΣΥΝΟΛΟ",$A$2)</f>
        <v>3.9636779489423991E-2</v>
      </c>
    </row>
    <row r="9" spans="1:3" x14ac:dyDescent="0.3">
      <c r="A9" s="12" t="s">
        <v>14</v>
      </c>
      <c r="B9" s="6">
        <v>1995110</v>
      </c>
      <c r="C9" s="74">
        <f>GETPIVOTDATA("ΣΥΝΟΛΟ",$A$2,"ΠΕΠ","ΘΕΣΣΑΛΙΑΣ")/GETPIVOTDATA("ΣΥΝΟΛΟ",$A$2)</f>
        <v>4.286935456855856E-2</v>
      </c>
    </row>
    <row r="10" spans="1:3" x14ac:dyDescent="0.3">
      <c r="A10" s="12" t="s">
        <v>20</v>
      </c>
      <c r="B10" s="6">
        <v>943401.72</v>
      </c>
      <c r="C10" s="74">
        <f>GETPIVOTDATA("ΣΥΝΟΛΟ",$A$2,"ΠΕΠ","ΙΟΝΙΩΝ ΝΗΣΩΝ")/GETPIVOTDATA("ΣΥΝΟΛΟ",$A$2)</f>
        <v>2.0271074194038424E-2</v>
      </c>
    </row>
    <row r="11" spans="1:3" x14ac:dyDescent="0.3">
      <c r="A11" s="12" t="s">
        <v>6</v>
      </c>
      <c r="B11" s="6">
        <v>8774359.879999999</v>
      </c>
      <c r="C11" s="74">
        <f>GETPIVOTDATA("ΣΥΝΟΛΟ",$A$2,"ΠΕΠ","ΚΕΝΤΡΙΚΗΣ ΜΑΚΕΔΟΝΙΑΣ")/GETPIVOTDATA("ΣΥΝΟΛΟ",$A$2)</f>
        <v>0.18853654425463001</v>
      </c>
    </row>
    <row r="12" spans="1:3" x14ac:dyDescent="0.3">
      <c r="A12" s="12" t="s">
        <v>18</v>
      </c>
      <c r="B12" s="6">
        <v>3387183.84</v>
      </c>
      <c r="C12" s="74">
        <f>GETPIVOTDATA("ΣΥΝΟΛΟ",$A$2,"ΠΕΠ","ΚΡΗΤΗΣ")/GETPIVOTDATA("ΣΥΝΟΛΟ",$A$2)</f>
        <v>7.2781142406108792E-2</v>
      </c>
    </row>
    <row r="13" spans="1:3" x14ac:dyDescent="0.3">
      <c r="A13" s="12" t="s">
        <v>46</v>
      </c>
      <c r="B13" s="6">
        <v>762616.12</v>
      </c>
      <c r="C13" s="74">
        <f>GETPIVOTDATA("ΣΥΝΟΛΟ",$A$2,"ΠΕΠ","ΝΟΤΙΟΥ ΑΙΓΑΙΟΥ")/GETPIVOTDATA("ΣΥΝΟΛΟ",$A$2)</f>
        <v>1.6386495405255049E-2</v>
      </c>
    </row>
    <row r="14" spans="1:3" x14ac:dyDescent="0.3">
      <c r="A14" s="12" t="s">
        <v>22</v>
      </c>
      <c r="B14" s="6">
        <v>1092174.92</v>
      </c>
      <c r="C14" s="74">
        <f>GETPIVOTDATA("ΣΥΝΟΛΟ",$A$2,"ΠΕΠ","ΠΕΛΟΠΟΝΝΗΣΟΥ")/GETPIVOTDATA("ΣΥΝΟΛΟ",$A$2)</f>
        <v>2.3467795708691289E-2</v>
      </c>
    </row>
    <row r="15" spans="1:3" x14ac:dyDescent="0.3">
      <c r="A15" s="12" t="s">
        <v>47</v>
      </c>
      <c r="B15" s="6">
        <v>2367941.16</v>
      </c>
      <c r="C15" s="74">
        <f>GETPIVOTDATA("ΣΥΝΟΛΟ",$A$2,"ΠΕΠ","ΣΤΕΡΕΑΣ ΕΛΛΑΔΟΣ")/GETPIVOTDATA("ΣΥΝΟΛΟ",$A$2)</f>
        <v>5.0880457310887049E-2</v>
      </c>
    </row>
    <row r="16" spans="1:3" x14ac:dyDescent="0.3">
      <c r="A16" s="12" t="s">
        <v>42</v>
      </c>
      <c r="B16" s="6">
        <v>46539305.760000005</v>
      </c>
      <c r="C16" s="75">
        <f>SUM(C3:C15)</f>
        <v>0.99999999999999978</v>
      </c>
    </row>
  </sheetData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"/>
  <sheetViews>
    <sheetView zoomScale="70" zoomScaleNormal="70" workbookViewId="0">
      <selection activeCell="H5" sqref="H5"/>
    </sheetView>
  </sheetViews>
  <sheetFormatPr defaultRowHeight="14.4" x14ac:dyDescent="0.3"/>
  <cols>
    <col min="1" max="1" width="31.33203125" customWidth="1"/>
    <col min="3" max="3" width="16.44140625" bestFit="1" customWidth="1"/>
    <col min="4" max="4" width="25.44140625" bestFit="1" customWidth="1"/>
    <col min="5" max="5" width="26.6640625" bestFit="1" customWidth="1"/>
    <col min="6" max="6" width="16.33203125" customWidth="1"/>
    <col min="7" max="7" width="14.109375" bestFit="1" customWidth="1"/>
    <col min="8" max="8" width="29.5546875" customWidth="1"/>
  </cols>
  <sheetData>
    <row r="1" spans="1:7" ht="40.950000000000003" customHeight="1" x14ac:dyDescent="0.3">
      <c r="A1" s="103" t="s">
        <v>76</v>
      </c>
      <c r="B1" s="103"/>
      <c r="C1" s="103"/>
      <c r="D1" s="103"/>
      <c r="E1" s="103"/>
      <c r="F1" s="103"/>
      <c r="G1" s="104"/>
    </row>
    <row r="2" spans="1:7" ht="15" hidden="1" customHeight="1" thickBot="1" x14ac:dyDescent="0.35">
      <c r="A2" s="105"/>
      <c r="B2" s="105"/>
      <c r="C2" s="105"/>
      <c r="D2" s="105"/>
      <c r="E2" s="105"/>
      <c r="F2" s="105"/>
      <c r="G2" s="106"/>
    </row>
    <row r="3" spans="1:7" ht="43.8" thickBot="1" x14ac:dyDescent="0.35">
      <c r="A3" s="89" t="s">
        <v>77</v>
      </c>
      <c r="B3" s="89" t="s">
        <v>70</v>
      </c>
      <c r="C3" s="89" t="s">
        <v>71</v>
      </c>
      <c r="D3" s="89" t="s">
        <v>80</v>
      </c>
      <c r="E3" s="90" t="s">
        <v>79</v>
      </c>
      <c r="F3" s="91"/>
      <c r="G3" s="92" t="s">
        <v>72</v>
      </c>
    </row>
    <row r="4" spans="1:7" ht="15.6" thickTop="1" thickBot="1" x14ac:dyDescent="0.35">
      <c r="A4" s="107" t="s">
        <v>89</v>
      </c>
      <c r="B4" s="108"/>
      <c r="C4" s="108"/>
      <c r="D4" s="108"/>
      <c r="E4" s="108"/>
      <c r="F4" s="108"/>
      <c r="G4" s="108"/>
    </row>
    <row r="5" spans="1:7" ht="87.6" thickTop="1" thickBot="1" x14ac:dyDescent="0.35">
      <c r="A5" s="71" t="s">
        <v>78</v>
      </c>
      <c r="B5" s="62" t="s">
        <v>73</v>
      </c>
      <c r="C5" s="62">
        <v>72</v>
      </c>
      <c r="D5" s="63">
        <v>1800</v>
      </c>
      <c r="E5" s="63">
        <f>D5*C5</f>
        <v>129600</v>
      </c>
      <c r="F5" s="64" t="s">
        <v>81</v>
      </c>
      <c r="G5" s="93">
        <f>E5*31</f>
        <v>4017600</v>
      </c>
    </row>
    <row r="6" spans="1:7" ht="87.6" thickTop="1" thickBot="1" x14ac:dyDescent="0.35">
      <c r="A6" s="65" t="s">
        <v>82</v>
      </c>
      <c r="B6" s="62" t="s">
        <v>73</v>
      </c>
      <c r="C6" s="62">
        <v>72</v>
      </c>
      <c r="D6" s="63">
        <v>1800</v>
      </c>
      <c r="E6" s="63">
        <f>D6*C6</f>
        <v>129600</v>
      </c>
      <c r="F6" s="64" t="s">
        <v>81</v>
      </c>
      <c r="G6" s="93">
        <f>E6*31</f>
        <v>4017600</v>
      </c>
    </row>
    <row r="7" spans="1:7" ht="87.6" thickTop="1" thickBot="1" x14ac:dyDescent="0.35">
      <c r="A7" s="68" t="s">
        <v>61</v>
      </c>
      <c r="B7" s="85" t="s">
        <v>74</v>
      </c>
      <c r="C7" s="85">
        <v>72</v>
      </c>
      <c r="D7" s="66">
        <v>2000</v>
      </c>
      <c r="E7" s="66">
        <f>D7*C7</f>
        <v>144000</v>
      </c>
      <c r="F7" s="64" t="s">
        <v>83</v>
      </c>
      <c r="G7" s="94">
        <v>6768000</v>
      </c>
    </row>
    <row r="8" spans="1:7" ht="73.2" thickTop="1" thickBot="1" x14ac:dyDescent="0.35">
      <c r="A8" s="86" t="s">
        <v>92</v>
      </c>
      <c r="B8" s="85" t="s">
        <v>73</v>
      </c>
      <c r="C8" s="85">
        <v>72</v>
      </c>
      <c r="D8" s="66">
        <v>1800</v>
      </c>
      <c r="E8" s="66">
        <f>D8*C8</f>
        <v>129600</v>
      </c>
      <c r="F8" s="87" t="s">
        <v>97</v>
      </c>
      <c r="G8" s="94">
        <v>8683200</v>
      </c>
    </row>
    <row r="9" spans="1:7" ht="15.6" thickTop="1" thickBot="1" x14ac:dyDescent="0.35">
      <c r="A9" s="70" t="s">
        <v>84</v>
      </c>
      <c r="B9" s="109" t="s">
        <v>96</v>
      </c>
      <c r="C9" s="109"/>
      <c r="D9" s="109"/>
      <c r="E9" s="109"/>
      <c r="F9" s="109"/>
      <c r="G9" s="110"/>
    </row>
    <row r="10" spans="1:7" ht="15.6" thickTop="1" thickBot="1" x14ac:dyDescent="0.35">
      <c r="A10" s="70" t="s">
        <v>85</v>
      </c>
      <c r="B10" s="109" t="s">
        <v>86</v>
      </c>
      <c r="C10" s="109"/>
      <c r="D10" s="109"/>
      <c r="E10" s="109"/>
      <c r="F10" s="109"/>
      <c r="G10" s="110"/>
    </row>
    <row r="11" spans="1:7" ht="15" thickTop="1" x14ac:dyDescent="0.3">
      <c r="A11" s="69"/>
      <c r="B11" s="67"/>
      <c r="C11" s="67"/>
      <c r="D11" s="67"/>
      <c r="E11" s="67"/>
      <c r="F11" s="67"/>
      <c r="G11" s="67"/>
    </row>
    <row r="12" spans="1:7" x14ac:dyDescent="0.3">
      <c r="A12" s="67"/>
      <c r="B12" s="67"/>
      <c r="C12" s="67"/>
      <c r="D12" s="67"/>
      <c r="E12" s="67"/>
      <c r="F12" s="67"/>
      <c r="G12" s="67"/>
    </row>
    <row r="13" spans="1:7" x14ac:dyDescent="0.3">
      <c r="A13" s="67"/>
      <c r="B13" s="67"/>
      <c r="C13" s="67"/>
      <c r="D13" s="67"/>
      <c r="E13" s="67"/>
      <c r="F13" s="67"/>
      <c r="G13" s="67"/>
    </row>
    <row r="14" spans="1:7" x14ac:dyDescent="0.3">
      <c r="A14" s="67"/>
      <c r="B14" s="67"/>
      <c r="C14" s="67"/>
      <c r="D14" s="67"/>
      <c r="E14" s="67"/>
      <c r="F14" s="67"/>
      <c r="G14" s="67"/>
    </row>
    <row r="15" spans="1:7" x14ac:dyDescent="0.3">
      <c r="A15" s="67"/>
      <c r="B15" s="67"/>
      <c r="C15" s="67"/>
      <c r="D15" s="67"/>
      <c r="E15" s="67"/>
      <c r="F15" s="67"/>
      <c r="G15" s="67"/>
    </row>
    <row r="16" spans="1:7" x14ac:dyDescent="0.3">
      <c r="A16" s="67"/>
      <c r="B16" s="67"/>
      <c r="C16" s="67"/>
      <c r="D16" s="67"/>
      <c r="E16" s="67"/>
      <c r="F16" s="67"/>
      <c r="G16" s="67"/>
    </row>
    <row r="17" spans="1:7" x14ac:dyDescent="0.3">
      <c r="A17" s="67"/>
      <c r="B17" s="67"/>
      <c r="C17" s="67"/>
      <c r="D17" s="67"/>
      <c r="E17" s="67"/>
      <c r="F17" s="67"/>
      <c r="G17" s="67"/>
    </row>
    <row r="18" spans="1:7" x14ac:dyDescent="0.3">
      <c r="A18" s="67"/>
      <c r="B18" s="67"/>
      <c r="C18" s="67"/>
      <c r="D18" s="67"/>
      <c r="E18" s="67"/>
      <c r="F18" s="67"/>
      <c r="G18" s="67"/>
    </row>
    <row r="19" spans="1:7" x14ac:dyDescent="0.3">
      <c r="A19" s="67"/>
      <c r="B19" s="67"/>
      <c r="C19" s="67"/>
      <c r="D19" s="67"/>
      <c r="E19" s="67"/>
      <c r="F19" s="67"/>
      <c r="G19" s="67"/>
    </row>
    <row r="20" spans="1:7" x14ac:dyDescent="0.3">
      <c r="A20" s="67"/>
      <c r="B20" s="67"/>
      <c r="C20" s="67"/>
      <c r="D20" s="67"/>
      <c r="E20" s="67"/>
      <c r="F20" s="67"/>
      <c r="G20" s="67"/>
    </row>
    <row r="21" spans="1:7" x14ac:dyDescent="0.3">
      <c r="A21" s="67"/>
      <c r="B21" s="67"/>
      <c r="C21" s="67"/>
      <c r="D21" s="67"/>
      <c r="E21" s="67"/>
      <c r="F21" s="67"/>
      <c r="G21" s="67"/>
    </row>
    <row r="22" spans="1:7" x14ac:dyDescent="0.3">
      <c r="A22" s="67"/>
      <c r="B22" s="67"/>
      <c r="C22" s="67"/>
      <c r="D22" s="67"/>
      <c r="E22" s="67"/>
      <c r="F22" s="67"/>
      <c r="G22" s="67"/>
    </row>
    <row r="23" spans="1:7" x14ac:dyDescent="0.3">
      <c r="A23" s="67"/>
      <c r="B23" s="67"/>
      <c r="C23" s="67"/>
      <c r="D23" s="67"/>
      <c r="E23" s="67"/>
      <c r="F23" s="67"/>
      <c r="G23" s="67"/>
    </row>
    <row r="24" spans="1:7" x14ac:dyDescent="0.3">
      <c r="A24" s="67"/>
      <c r="B24" s="67"/>
      <c r="C24" s="67"/>
      <c r="D24" s="67"/>
      <c r="E24" s="67"/>
      <c r="F24" s="67"/>
      <c r="G24" s="67"/>
    </row>
    <row r="25" spans="1:7" x14ac:dyDescent="0.3">
      <c r="A25" s="67"/>
      <c r="B25" s="67"/>
      <c r="C25" s="67"/>
      <c r="D25" s="67"/>
      <c r="E25" s="67"/>
      <c r="F25" s="67"/>
      <c r="G25" s="67"/>
    </row>
    <row r="26" spans="1:7" x14ac:dyDescent="0.3">
      <c r="A26" s="67"/>
      <c r="B26" s="67"/>
      <c r="C26" s="67"/>
      <c r="D26" s="67"/>
      <c r="E26" s="67"/>
      <c r="F26" s="67"/>
      <c r="G26" s="67"/>
    </row>
    <row r="27" spans="1:7" x14ac:dyDescent="0.3">
      <c r="A27" s="67"/>
      <c r="B27" s="67"/>
      <c r="C27" s="67"/>
      <c r="D27" s="67"/>
      <c r="E27" s="67"/>
      <c r="F27" s="67"/>
      <c r="G27" s="67"/>
    </row>
    <row r="28" spans="1:7" x14ac:dyDescent="0.3">
      <c r="A28" s="67"/>
      <c r="B28" s="67"/>
      <c r="C28" s="67"/>
      <c r="D28" s="67"/>
      <c r="E28" s="67"/>
      <c r="F28" s="67"/>
      <c r="G28" s="67"/>
    </row>
    <row r="29" spans="1:7" x14ac:dyDescent="0.3">
      <c r="A29" s="67"/>
      <c r="B29" s="67"/>
      <c r="C29" s="67"/>
      <c r="D29" s="67"/>
      <c r="E29" s="67"/>
      <c r="F29" s="67"/>
      <c r="G29" s="67"/>
    </row>
    <row r="30" spans="1:7" x14ac:dyDescent="0.3">
      <c r="A30" s="67"/>
      <c r="B30" s="67"/>
      <c r="C30" s="67"/>
      <c r="D30" s="67"/>
      <c r="E30" s="67"/>
      <c r="F30" s="67"/>
      <c r="G30" s="67"/>
    </row>
    <row r="31" spans="1:7" x14ac:dyDescent="0.3">
      <c r="A31" s="67"/>
      <c r="B31" s="67"/>
      <c r="C31" s="67"/>
      <c r="D31" s="67"/>
      <c r="E31" s="67"/>
      <c r="F31" s="67"/>
      <c r="G31" s="67"/>
    </row>
    <row r="32" spans="1:7" x14ac:dyDescent="0.3">
      <c r="A32" s="67"/>
      <c r="B32" s="67"/>
      <c r="C32" s="67"/>
      <c r="D32" s="67"/>
      <c r="E32" s="67"/>
      <c r="F32" s="67"/>
      <c r="G32" s="67"/>
    </row>
    <row r="33" spans="1:7" x14ac:dyDescent="0.3">
      <c r="A33" s="67"/>
      <c r="B33" s="67"/>
      <c r="C33" s="67"/>
      <c r="D33" s="67"/>
      <c r="E33" s="67"/>
      <c r="F33" s="67"/>
      <c r="G33" s="67"/>
    </row>
    <row r="34" spans="1:7" x14ac:dyDescent="0.3">
      <c r="A34" s="67"/>
      <c r="B34" s="67"/>
      <c r="C34" s="67"/>
      <c r="D34" s="67"/>
      <c r="E34" s="67"/>
      <c r="F34" s="67"/>
      <c r="G34" s="67"/>
    </row>
    <row r="35" spans="1:7" x14ac:dyDescent="0.3">
      <c r="A35" s="67"/>
      <c r="B35" s="67"/>
      <c r="C35" s="67"/>
      <c r="D35" s="67"/>
      <c r="E35" s="67"/>
      <c r="F35" s="67"/>
      <c r="G35" s="67"/>
    </row>
    <row r="36" spans="1:7" x14ac:dyDescent="0.3">
      <c r="A36" s="67"/>
      <c r="B36" s="67"/>
      <c r="C36" s="67"/>
      <c r="D36" s="67"/>
      <c r="E36" s="67"/>
      <c r="F36" s="67"/>
      <c r="G36" s="67"/>
    </row>
  </sheetData>
  <mergeCells count="4">
    <mergeCell ref="A1:G2"/>
    <mergeCell ref="A4:G4"/>
    <mergeCell ref="B9:G9"/>
    <mergeCell ref="B10:G10"/>
  </mergeCells>
  <hyperlinks>
    <hyperlink ref="F8" location="'ΠΡΟΣΒΑΣΙΜΑ ΣΥΓΓΡΑΜΜΑΤΑ'!A1" display="'ΠΡΟΣΒΑΣΙΜΑ ΣΥΓΓΡΑΜΜΑΤΑ'!A1" xr:uid="{00000000-0004-0000-0100-000000000000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"/>
  <sheetViews>
    <sheetView workbookViewId="0">
      <selection activeCell="A2" sqref="A2:B15"/>
    </sheetView>
  </sheetViews>
  <sheetFormatPr defaultRowHeight="14.4" x14ac:dyDescent="0.3"/>
  <cols>
    <col min="1" max="1" width="21.88671875" bestFit="1" customWidth="1"/>
    <col min="2" max="2" width="14.6640625" bestFit="1" customWidth="1"/>
  </cols>
  <sheetData>
    <row r="1" spans="1:2" x14ac:dyDescent="0.3">
      <c r="A1" s="9" t="s">
        <v>41</v>
      </c>
      <c r="B1" t="s">
        <v>43</v>
      </c>
    </row>
    <row r="2" spans="1:2" x14ac:dyDescent="0.3">
      <c r="A2" s="10" t="s">
        <v>48</v>
      </c>
      <c r="B2" s="5">
        <v>2374236.52</v>
      </c>
    </row>
    <row r="3" spans="1:2" x14ac:dyDescent="0.3">
      <c r="A3" s="10" t="s">
        <v>16</v>
      </c>
      <c r="B3" s="5">
        <v>17403563.919999998</v>
      </c>
    </row>
    <row r="4" spans="1:2" x14ac:dyDescent="0.3">
      <c r="A4" s="10" t="s">
        <v>4</v>
      </c>
      <c r="B4" s="5">
        <v>797388.92</v>
      </c>
    </row>
    <row r="5" spans="1:2" x14ac:dyDescent="0.3">
      <c r="A5" s="10" t="s">
        <v>12</v>
      </c>
      <c r="B5" s="5">
        <v>3467033.56</v>
      </c>
    </row>
    <row r="6" spans="1:2" x14ac:dyDescent="0.3">
      <c r="A6" s="10" t="s">
        <v>8</v>
      </c>
      <c r="B6" s="5">
        <v>1329627</v>
      </c>
    </row>
    <row r="7" spans="1:2" x14ac:dyDescent="0.3">
      <c r="A7" s="10" t="s">
        <v>10</v>
      </c>
      <c r="B7" s="5">
        <v>1844668.2</v>
      </c>
    </row>
    <row r="8" spans="1:2" x14ac:dyDescent="0.3">
      <c r="A8" s="10" t="s">
        <v>14</v>
      </c>
      <c r="B8" s="5">
        <v>1995110</v>
      </c>
    </row>
    <row r="9" spans="1:2" x14ac:dyDescent="0.3">
      <c r="A9" s="10" t="s">
        <v>20</v>
      </c>
      <c r="B9" s="5">
        <v>943401.72</v>
      </c>
    </row>
    <row r="10" spans="1:2" x14ac:dyDescent="0.3">
      <c r="A10" s="10" t="s">
        <v>6</v>
      </c>
      <c r="B10" s="5">
        <v>8774359.879999999</v>
      </c>
    </row>
    <row r="11" spans="1:2" x14ac:dyDescent="0.3">
      <c r="A11" s="10" t="s">
        <v>18</v>
      </c>
      <c r="B11" s="5">
        <v>3387183.84</v>
      </c>
    </row>
    <row r="12" spans="1:2" x14ac:dyDescent="0.3">
      <c r="A12" s="10" t="s">
        <v>46</v>
      </c>
      <c r="B12" s="5">
        <v>762616.12</v>
      </c>
    </row>
    <row r="13" spans="1:2" x14ac:dyDescent="0.3">
      <c r="A13" s="10" t="s">
        <v>22</v>
      </c>
      <c r="B13" s="5">
        <v>1092174.92</v>
      </c>
    </row>
    <row r="14" spans="1:2" x14ac:dyDescent="0.3">
      <c r="A14" s="10" t="s">
        <v>47</v>
      </c>
      <c r="B14" s="5">
        <v>2367941.16</v>
      </c>
    </row>
    <row r="15" spans="1:2" x14ac:dyDescent="0.3">
      <c r="A15" s="10" t="s">
        <v>42</v>
      </c>
      <c r="B15" s="5">
        <v>46539305.760000005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5"/>
  <sheetViews>
    <sheetView workbookViewId="0">
      <selection activeCell="A2" sqref="A2:B15"/>
    </sheetView>
  </sheetViews>
  <sheetFormatPr defaultRowHeight="14.4" x14ac:dyDescent="0.3"/>
  <cols>
    <col min="1" max="1" width="21.88671875" bestFit="1" customWidth="1"/>
    <col min="2" max="2" width="14.6640625" bestFit="1" customWidth="1"/>
  </cols>
  <sheetData>
    <row r="1" spans="1:2" x14ac:dyDescent="0.3">
      <c r="A1" s="9" t="s">
        <v>41</v>
      </c>
      <c r="B1" t="s">
        <v>43</v>
      </c>
    </row>
    <row r="2" spans="1:2" x14ac:dyDescent="0.3">
      <c r="A2" s="10" t="s">
        <v>48</v>
      </c>
      <c r="B2" s="5">
        <v>1260384</v>
      </c>
    </row>
    <row r="3" spans="1:2" x14ac:dyDescent="0.3">
      <c r="A3" s="10" t="s">
        <v>16</v>
      </c>
      <c r="B3" s="5">
        <v>14024521.199999999</v>
      </c>
    </row>
    <row r="4" spans="1:2" x14ac:dyDescent="0.3">
      <c r="A4" s="10" t="s">
        <v>4</v>
      </c>
      <c r="B4" s="5">
        <v>577454</v>
      </c>
    </row>
    <row r="5" spans="1:2" x14ac:dyDescent="0.3">
      <c r="A5" s="10" t="s">
        <v>12</v>
      </c>
      <c r="B5" s="5">
        <v>1610292</v>
      </c>
    </row>
    <row r="6" spans="1:2" x14ac:dyDescent="0.3">
      <c r="A6" s="10" t="s">
        <v>8</v>
      </c>
      <c r="B6" s="5">
        <v>867256</v>
      </c>
    </row>
    <row r="7" spans="1:2" x14ac:dyDescent="0.3">
      <c r="A7" s="10" t="s">
        <v>10</v>
      </c>
      <c r="B7" s="5">
        <v>1226536</v>
      </c>
    </row>
    <row r="8" spans="1:2" x14ac:dyDescent="0.3">
      <c r="A8" s="10" t="s">
        <v>14</v>
      </c>
      <c r="B8" s="5">
        <v>1633683.2</v>
      </c>
    </row>
    <row r="9" spans="1:2" x14ac:dyDescent="0.3">
      <c r="A9" s="10" t="s">
        <v>20</v>
      </c>
      <c r="B9" s="5">
        <v>758356</v>
      </c>
    </row>
    <row r="10" spans="1:2" x14ac:dyDescent="0.3">
      <c r="A10" s="10" t="s">
        <v>6</v>
      </c>
      <c r="B10" s="5">
        <v>7128028</v>
      </c>
    </row>
    <row r="11" spans="1:2" x14ac:dyDescent="0.3">
      <c r="A11" s="10" t="s">
        <v>18</v>
      </c>
      <c r="B11" s="5">
        <v>2540068</v>
      </c>
    </row>
    <row r="12" spans="1:2" x14ac:dyDescent="0.3">
      <c r="A12" s="10" t="s">
        <v>46</v>
      </c>
      <c r="B12" s="5">
        <v>225850</v>
      </c>
    </row>
    <row r="13" spans="1:2" x14ac:dyDescent="0.3">
      <c r="A13" s="10" t="s">
        <v>22</v>
      </c>
      <c r="B13" s="5">
        <v>993376</v>
      </c>
    </row>
    <row r="14" spans="1:2" x14ac:dyDescent="0.3">
      <c r="A14" s="10" t="s">
        <v>47</v>
      </c>
      <c r="B14" s="5">
        <v>979983.6</v>
      </c>
    </row>
    <row r="15" spans="1:2" x14ac:dyDescent="0.3">
      <c r="A15" s="10" t="s">
        <v>42</v>
      </c>
      <c r="B15" s="5">
        <v>33825788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5"/>
  <sheetViews>
    <sheetView workbookViewId="0">
      <selection activeCell="A2" sqref="A2:B14"/>
    </sheetView>
  </sheetViews>
  <sheetFormatPr defaultColWidth="8.6640625" defaultRowHeight="14.4" x14ac:dyDescent="0.3"/>
  <cols>
    <col min="1" max="1" width="21.6640625" bestFit="1" customWidth="1"/>
    <col min="2" max="2" width="14.6640625" bestFit="1" customWidth="1"/>
  </cols>
  <sheetData>
    <row r="1" spans="1:2" x14ac:dyDescent="0.3">
      <c r="A1" s="9" t="s">
        <v>41</v>
      </c>
      <c r="B1" t="s">
        <v>43</v>
      </c>
    </row>
    <row r="2" spans="1:2" x14ac:dyDescent="0.3">
      <c r="A2" s="10" t="s">
        <v>25</v>
      </c>
      <c r="B2" s="5">
        <v>1564000</v>
      </c>
    </row>
    <row r="3" spans="1:2" x14ac:dyDescent="0.3">
      <c r="A3" s="10" t="s">
        <v>16</v>
      </c>
      <c r="B3" s="5">
        <v>21091060</v>
      </c>
    </row>
    <row r="4" spans="1:2" x14ac:dyDescent="0.3">
      <c r="A4" s="10" t="s">
        <v>4</v>
      </c>
      <c r="B4" s="5">
        <v>592130</v>
      </c>
    </row>
    <row r="5" spans="1:2" x14ac:dyDescent="0.3">
      <c r="A5" s="10" t="s">
        <v>12</v>
      </c>
      <c r="B5" s="5">
        <v>2003000</v>
      </c>
    </row>
    <row r="6" spans="1:2" x14ac:dyDescent="0.3">
      <c r="A6" s="10" t="s">
        <v>8</v>
      </c>
      <c r="B6" s="5">
        <v>813000</v>
      </c>
    </row>
    <row r="7" spans="1:2" x14ac:dyDescent="0.3">
      <c r="A7" s="10" t="s">
        <v>10</v>
      </c>
      <c r="B7" s="5">
        <v>1551000</v>
      </c>
    </row>
    <row r="8" spans="1:2" x14ac:dyDescent="0.3">
      <c r="A8" s="10" t="s">
        <v>14</v>
      </c>
      <c r="B8" s="5">
        <v>2387360</v>
      </c>
    </row>
    <row r="9" spans="1:2" x14ac:dyDescent="0.3">
      <c r="A9" s="10" t="s">
        <v>20</v>
      </c>
      <c r="B9" s="5">
        <v>714000</v>
      </c>
    </row>
    <row r="10" spans="1:2" x14ac:dyDescent="0.3">
      <c r="A10" s="10" t="s">
        <v>6</v>
      </c>
      <c r="B10" s="5">
        <v>10376000</v>
      </c>
    </row>
    <row r="11" spans="1:2" x14ac:dyDescent="0.3">
      <c r="A11" s="10" t="s">
        <v>18</v>
      </c>
      <c r="B11" s="5">
        <v>2756000</v>
      </c>
    </row>
    <row r="12" spans="1:2" x14ac:dyDescent="0.3">
      <c r="A12" s="10" t="s">
        <v>46</v>
      </c>
      <c r="B12" s="5">
        <v>176870</v>
      </c>
    </row>
    <row r="13" spans="1:2" x14ac:dyDescent="0.3">
      <c r="A13" s="10" t="s">
        <v>22</v>
      </c>
      <c r="B13" s="5">
        <v>1179000</v>
      </c>
    </row>
    <row r="14" spans="1:2" x14ac:dyDescent="0.3">
      <c r="A14" s="10" t="s">
        <v>47</v>
      </c>
      <c r="B14" s="5">
        <v>1565580</v>
      </c>
    </row>
    <row r="15" spans="1:2" x14ac:dyDescent="0.3">
      <c r="A15" s="10" t="s">
        <v>42</v>
      </c>
      <c r="B15" s="5">
        <v>46769000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3"/>
  <sheetViews>
    <sheetView workbookViewId="0">
      <selection activeCell="A2" sqref="A2:B13"/>
    </sheetView>
  </sheetViews>
  <sheetFormatPr defaultColWidth="8.6640625" defaultRowHeight="14.4" x14ac:dyDescent="0.3"/>
  <cols>
    <col min="1" max="1" width="21.6640625" bestFit="1" customWidth="1"/>
    <col min="2" max="2" width="14.6640625" bestFit="1" customWidth="1"/>
  </cols>
  <sheetData>
    <row r="1" spans="1:2" x14ac:dyDescent="0.3">
      <c r="A1" s="9" t="s">
        <v>41</v>
      </c>
      <c r="B1" t="s">
        <v>43</v>
      </c>
    </row>
    <row r="2" spans="1:2" x14ac:dyDescent="0.3">
      <c r="A2" s="10" t="s">
        <v>25</v>
      </c>
      <c r="B2" s="5">
        <v>1182000</v>
      </c>
    </row>
    <row r="3" spans="1:2" x14ac:dyDescent="0.3">
      <c r="A3" s="10" t="s">
        <v>16</v>
      </c>
      <c r="B3" s="5">
        <v>22268000</v>
      </c>
    </row>
    <row r="4" spans="1:2" x14ac:dyDescent="0.3">
      <c r="A4" s="10" t="s">
        <v>4</v>
      </c>
      <c r="B4" s="5">
        <v>769000</v>
      </c>
    </row>
    <row r="5" spans="1:2" x14ac:dyDescent="0.3">
      <c r="A5" s="10" t="s">
        <v>12</v>
      </c>
      <c r="B5" s="5">
        <v>2003000</v>
      </c>
    </row>
    <row r="6" spans="1:2" x14ac:dyDescent="0.3">
      <c r="A6" s="10" t="s">
        <v>8</v>
      </c>
      <c r="B6" s="5">
        <v>813000</v>
      </c>
    </row>
    <row r="7" spans="1:2" x14ac:dyDescent="0.3">
      <c r="A7" s="10" t="s">
        <v>10</v>
      </c>
      <c r="B7" s="5">
        <v>1551000</v>
      </c>
    </row>
    <row r="8" spans="1:2" x14ac:dyDescent="0.3">
      <c r="A8" s="10" t="s">
        <v>14</v>
      </c>
      <c r="B8" s="5">
        <v>2776000</v>
      </c>
    </row>
    <row r="9" spans="1:2" x14ac:dyDescent="0.3">
      <c r="A9" s="10" t="s">
        <v>20</v>
      </c>
      <c r="B9" s="5">
        <v>714000</v>
      </c>
    </row>
    <row r="10" spans="1:2" x14ac:dyDescent="0.3">
      <c r="A10" s="10" t="s">
        <v>6</v>
      </c>
      <c r="B10" s="5">
        <v>10758000</v>
      </c>
    </row>
    <row r="11" spans="1:2" x14ac:dyDescent="0.3">
      <c r="A11" s="10" t="s">
        <v>18</v>
      </c>
      <c r="B11" s="5">
        <v>2756000</v>
      </c>
    </row>
    <row r="12" spans="1:2" x14ac:dyDescent="0.3">
      <c r="A12" s="10" t="s">
        <v>22</v>
      </c>
      <c r="B12" s="5">
        <v>1179000</v>
      </c>
    </row>
    <row r="13" spans="1:2" x14ac:dyDescent="0.3">
      <c r="A13" s="10" t="s">
        <v>42</v>
      </c>
      <c r="B13" s="5">
        <v>46769000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7"/>
  <sheetViews>
    <sheetView zoomScale="77" zoomScaleNormal="77" zoomScalePageLayoutView="77" workbookViewId="0">
      <selection activeCell="D5" sqref="D5"/>
    </sheetView>
  </sheetViews>
  <sheetFormatPr defaultColWidth="8.6640625" defaultRowHeight="14.4" x14ac:dyDescent="0.3"/>
  <cols>
    <col min="1" max="1" width="12.33203125" bestFit="1" customWidth="1"/>
    <col min="2" max="2" width="30.109375" bestFit="1" customWidth="1"/>
    <col min="3" max="3" width="23.44140625" style="16" bestFit="1" customWidth="1"/>
    <col min="4" max="4" width="24.33203125" bestFit="1" customWidth="1"/>
  </cols>
  <sheetData>
    <row r="1" spans="1:4" ht="56.4" x14ac:dyDescent="0.3">
      <c r="A1" s="11" t="s">
        <v>45</v>
      </c>
      <c r="B1" s="11" t="s">
        <v>0</v>
      </c>
      <c r="C1" s="15" t="s">
        <v>90</v>
      </c>
      <c r="D1" s="17" t="s">
        <v>101</v>
      </c>
    </row>
    <row r="2" spans="1:4" ht="15.6" x14ac:dyDescent="0.3">
      <c r="A2" s="3">
        <v>1</v>
      </c>
      <c r="B2" s="4" t="s">
        <v>3</v>
      </c>
      <c r="C2" s="35">
        <v>6</v>
      </c>
      <c r="D2" s="37">
        <f t="shared" ref="D2:D26" si="0">C2*500*22</f>
        <v>66000</v>
      </c>
    </row>
    <row r="3" spans="1:4" ht="15.6" x14ac:dyDescent="0.3">
      <c r="A3" s="4">
        <v>2</v>
      </c>
      <c r="B3" s="4" t="s">
        <v>5</v>
      </c>
      <c r="C3" s="35">
        <v>20</v>
      </c>
      <c r="D3" s="37">
        <f t="shared" si="0"/>
        <v>220000</v>
      </c>
    </row>
    <row r="4" spans="1:4" ht="15.6" x14ac:dyDescent="0.3">
      <c r="A4" s="4">
        <v>3</v>
      </c>
      <c r="B4" s="4" t="s">
        <v>7</v>
      </c>
      <c r="C4" s="35">
        <v>10</v>
      </c>
      <c r="D4" s="37">
        <f t="shared" si="0"/>
        <v>110000</v>
      </c>
    </row>
    <row r="5" spans="1:4" ht="15.6" x14ac:dyDescent="0.3">
      <c r="A5" s="3">
        <v>4</v>
      </c>
      <c r="B5" s="4" t="s">
        <v>9</v>
      </c>
      <c r="C5" s="35">
        <v>30</v>
      </c>
      <c r="D5" s="37">
        <f t="shared" si="0"/>
        <v>330000</v>
      </c>
    </row>
    <row r="6" spans="1:4" ht="15.6" x14ac:dyDescent="0.3">
      <c r="A6" s="4">
        <v>5</v>
      </c>
      <c r="B6" s="4" t="s">
        <v>11</v>
      </c>
      <c r="C6" s="35">
        <v>7</v>
      </c>
      <c r="D6" s="37">
        <f t="shared" si="0"/>
        <v>77000</v>
      </c>
    </row>
    <row r="7" spans="1:4" ht="15.6" x14ac:dyDescent="0.3">
      <c r="A7" s="44">
        <v>6</v>
      </c>
      <c r="B7" s="44" t="s">
        <v>13</v>
      </c>
      <c r="C7" s="35">
        <v>15</v>
      </c>
      <c r="D7" s="37">
        <f t="shared" si="0"/>
        <v>165000</v>
      </c>
    </row>
    <row r="8" spans="1:4" ht="15.6" x14ac:dyDescent="0.3">
      <c r="A8" s="3">
        <v>7</v>
      </c>
      <c r="B8" s="4" t="s">
        <v>15</v>
      </c>
      <c r="C8" s="35">
        <v>35</v>
      </c>
      <c r="D8" s="37">
        <f t="shared" si="0"/>
        <v>385000</v>
      </c>
    </row>
    <row r="9" spans="1:4" ht="15.6" x14ac:dyDescent="0.3">
      <c r="A9" s="4">
        <v>8</v>
      </c>
      <c r="B9" s="4" t="s">
        <v>17</v>
      </c>
      <c r="C9" s="35">
        <v>5</v>
      </c>
      <c r="D9" s="37">
        <f t="shared" si="0"/>
        <v>55000</v>
      </c>
    </row>
    <row r="10" spans="1:4" ht="15.6" x14ac:dyDescent="0.3">
      <c r="A10" s="4">
        <v>9</v>
      </c>
      <c r="B10" s="4" t="s">
        <v>19</v>
      </c>
      <c r="C10" s="35">
        <v>2</v>
      </c>
      <c r="D10" s="37">
        <f t="shared" si="0"/>
        <v>22000</v>
      </c>
    </row>
    <row r="11" spans="1:4" ht="15.6" x14ac:dyDescent="0.3">
      <c r="A11" s="3">
        <v>10</v>
      </c>
      <c r="B11" s="4" t="s">
        <v>21</v>
      </c>
      <c r="C11" s="35">
        <v>20</v>
      </c>
      <c r="D11" s="37">
        <f t="shared" si="0"/>
        <v>220000</v>
      </c>
    </row>
    <row r="12" spans="1:4" ht="15.6" x14ac:dyDescent="0.3">
      <c r="A12" s="4">
        <v>11</v>
      </c>
      <c r="B12" s="4" t="s">
        <v>23</v>
      </c>
      <c r="C12" s="35">
        <v>10</v>
      </c>
      <c r="D12" s="37">
        <f t="shared" si="0"/>
        <v>110000</v>
      </c>
    </row>
    <row r="13" spans="1:4" ht="15.6" x14ac:dyDescent="0.3">
      <c r="A13" s="4">
        <v>12</v>
      </c>
      <c r="B13" s="4" t="s">
        <v>24</v>
      </c>
      <c r="C13" s="35">
        <v>19</v>
      </c>
      <c r="D13" s="37">
        <f t="shared" si="0"/>
        <v>209000</v>
      </c>
    </row>
    <row r="14" spans="1:4" ht="15.6" x14ac:dyDescent="0.3">
      <c r="A14" s="3">
        <v>13</v>
      </c>
      <c r="B14" s="4" t="s">
        <v>26</v>
      </c>
      <c r="C14" s="35">
        <v>15</v>
      </c>
      <c r="D14" s="37">
        <f t="shared" si="0"/>
        <v>165000</v>
      </c>
    </row>
    <row r="15" spans="1:4" ht="15.6" x14ac:dyDescent="0.3">
      <c r="A15" s="4">
        <v>14</v>
      </c>
      <c r="B15" s="4" t="s">
        <v>27</v>
      </c>
      <c r="C15" s="35">
        <v>18</v>
      </c>
      <c r="D15" s="37">
        <f t="shared" si="0"/>
        <v>198000</v>
      </c>
    </row>
    <row r="16" spans="1:4" ht="15.6" x14ac:dyDescent="0.3">
      <c r="A16" s="4">
        <v>15</v>
      </c>
      <c r="B16" s="4" t="s">
        <v>28</v>
      </c>
      <c r="C16" s="35">
        <v>25</v>
      </c>
      <c r="D16" s="37">
        <f t="shared" si="0"/>
        <v>275000</v>
      </c>
    </row>
    <row r="17" spans="1:4" ht="15.6" x14ac:dyDescent="0.3">
      <c r="A17" s="3">
        <v>16</v>
      </c>
      <c r="B17" s="4" t="s">
        <v>29</v>
      </c>
      <c r="C17" s="35">
        <v>7</v>
      </c>
      <c r="D17" s="37">
        <f t="shared" si="0"/>
        <v>77000</v>
      </c>
    </row>
    <row r="18" spans="1:4" ht="15.6" x14ac:dyDescent="0.3">
      <c r="A18" s="4">
        <v>17</v>
      </c>
      <c r="B18" s="4" t="s">
        <v>30</v>
      </c>
      <c r="C18" s="35">
        <v>3</v>
      </c>
      <c r="D18" s="37">
        <f t="shared" si="0"/>
        <v>33000</v>
      </c>
    </row>
    <row r="19" spans="1:4" ht="15.6" x14ac:dyDescent="0.3">
      <c r="A19" s="4">
        <v>18</v>
      </c>
      <c r="B19" s="4" t="s">
        <v>31</v>
      </c>
      <c r="C19" s="35">
        <v>2</v>
      </c>
      <c r="D19" s="37">
        <f t="shared" si="0"/>
        <v>22000</v>
      </c>
    </row>
    <row r="20" spans="1:4" ht="15.6" x14ac:dyDescent="0.3">
      <c r="A20" s="3">
        <v>19</v>
      </c>
      <c r="B20" s="4" t="s">
        <v>32</v>
      </c>
      <c r="C20" s="35">
        <v>17</v>
      </c>
      <c r="D20" s="37">
        <f t="shared" si="0"/>
        <v>187000</v>
      </c>
    </row>
    <row r="21" spans="1:4" ht="15.6" x14ac:dyDescent="0.3">
      <c r="A21" s="44">
        <v>20</v>
      </c>
      <c r="B21" s="44" t="s">
        <v>33</v>
      </c>
      <c r="C21" s="35">
        <v>12</v>
      </c>
      <c r="D21" s="37">
        <f t="shared" si="0"/>
        <v>132000</v>
      </c>
    </row>
    <row r="22" spans="1:4" ht="15.6" x14ac:dyDescent="0.3">
      <c r="A22" s="4">
        <v>21</v>
      </c>
      <c r="B22" s="4" t="s">
        <v>34</v>
      </c>
      <c r="C22" s="35">
        <v>2</v>
      </c>
      <c r="D22" s="37">
        <f t="shared" si="0"/>
        <v>22000</v>
      </c>
    </row>
    <row r="23" spans="1:4" ht="15.6" x14ac:dyDescent="0.3">
      <c r="A23" s="38">
        <v>22</v>
      </c>
      <c r="B23" s="44" t="s">
        <v>35</v>
      </c>
      <c r="C23" s="35">
        <v>35</v>
      </c>
      <c r="D23" s="37">
        <f t="shared" si="0"/>
        <v>385000</v>
      </c>
    </row>
    <row r="24" spans="1:4" ht="15.6" x14ac:dyDescent="0.3">
      <c r="A24" s="4">
        <v>23</v>
      </c>
      <c r="B24" s="4" t="s">
        <v>36</v>
      </c>
      <c r="C24" s="35">
        <v>7</v>
      </c>
      <c r="D24" s="37">
        <f t="shared" si="0"/>
        <v>77000</v>
      </c>
    </row>
    <row r="25" spans="1:4" ht="15.6" x14ac:dyDescent="0.3">
      <c r="A25" s="4">
        <v>24</v>
      </c>
      <c r="B25" s="4" t="s">
        <v>37</v>
      </c>
      <c r="C25" s="35">
        <v>6</v>
      </c>
      <c r="D25" s="37">
        <f t="shared" si="0"/>
        <v>66000</v>
      </c>
    </row>
    <row r="26" spans="1:4" ht="15.6" x14ac:dyDescent="0.3">
      <c r="A26" s="3">
        <v>25</v>
      </c>
      <c r="B26" s="4" t="s">
        <v>38</v>
      </c>
      <c r="C26" s="35">
        <v>40</v>
      </c>
      <c r="D26" s="37">
        <f t="shared" si="0"/>
        <v>440000</v>
      </c>
    </row>
    <row r="27" spans="1:4" ht="15.6" x14ac:dyDescent="0.3">
      <c r="A27" s="7"/>
      <c r="B27" s="54" t="s">
        <v>39</v>
      </c>
      <c r="C27" s="36">
        <f>SUM(C2:C26)</f>
        <v>368</v>
      </c>
      <c r="D27" s="53">
        <f>SUM(D2:D26)</f>
        <v>4048000</v>
      </c>
    </row>
  </sheetData>
  <autoFilter ref="A1:D1" xr:uid="{00000000-0009-0000-0000-000006000000}">
    <sortState xmlns:xlrd2="http://schemas.microsoft.com/office/spreadsheetml/2017/richdata2" ref="A2:D27">
      <sortCondition ref="A1"/>
    </sortState>
  </autoFilter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8"/>
  <sheetViews>
    <sheetView topLeftCell="A4" zoomScale="85" zoomScaleNormal="85" workbookViewId="0">
      <selection activeCell="A8" sqref="A8"/>
    </sheetView>
  </sheetViews>
  <sheetFormatPr defaultColWidth="8.6640625" defaultRowHeight="14.4" x14ac:dyDescent="0.3"/>
  <cols>
    <col min="1" max="1" width="25.33203125" customWidth="1"/>
    <col min="2" max="2" width="12" style="16" customWidth="1"/>
    <col min="3" max="3" width="11.109375" customWidth="1"/>
    <col min="4" max="5" width="14.109375" customWidth="1"/>
    <col min="6" max="6" width="13.5546875" bestFit="1" customWidth="1"/>
    <col min="7" max="7" width="14.6640625" bestFit="1" customWidth="1"/>
    <col min="8" max="8" width="39.44140625" customWidth="1"/>
    <col min="9" max="9" width="41.77734375" customWidth="1"/>
    <col min="10" max="10" width="14.109375" bestFit="1" customWidth="1"/>
  </cols>
  <sheetData>
    <row r="1" spans="1:8" ht="58.2" thickBot="1" x14ac:dyDescent="0.35">
      <c r="A1" s="26" t="s">
        <v>58</v>
      </c>
      <c r="B1" s="27" t="s">
        <v>59</v>
      </c>
      <c r="C1" s="28" t="s">
        <v>91</v>
      </c>
      <c r="D1" s="43" t="s">
        <v>108</v>
      </c>
      <c r="E1" s="43" t="s">
        <v>60</v>
      </c>
      <c r="F1" s="43" t="s">
        <v>68</v>
      </c>
      <c r="G1" s="43" t="s">
        <v>69</v>
      </c>
      <c r="H1" s="61" t="s">
        <v>107</v>
      </c>
    </row>
    <row r="2" spans="1:8" ht="16.2" thickBot="1" x14ac:dyDescent="0.35">
      <c r="A2" s="18" t="s">
        <v>38</v>
      </c>
      <c r="B2" s="19">
        <v>85</v>
      </c>
      <c r="C2" s="56">
        <v>2250</v>
      </c>
      <c r="D2" s="7">
        <v>28</v>
      </c>
      <c r="E2" s="30">
        <v>9</v>
      </c>
      <c r="F2" s="6">
        <f t="shared" ref="F2:F26" si="0">D2*2250*9</f>
        <v>567000</v>
      </c>
      <c r="G2" s="59">
        <f t="shared" ref="G2:G26" si="1">F2*6</f>
        <v>3402000</v>
      </c>
    </row>
    <row r="3" spans="1:8" ht="58.2" thickBot="1" x14ac:dyDescent="0.35">
      <c r="A3" s="113" t="s">
        <v>35</v>
      </c>
      <c r="B3" s="114">
        <v>78</v>
      </c>
      <c r="C3" s="115">
        <v>2250</v>
      </c>
      <c r="D3" s="7">
        <v>26</v>
      </c>
      <c r="E3" s="30">
        <v>9</v>
      </c>
      <c r="F3" s="6">
        <f t="shared" si="0"/>
        <v>526500</v>
      </c>
      <c r="G3" s="59">
        <f t="shared" si="1"/>
        <v>3159000</v>
      </c>
      <c r="H3" s="67" t="s">
        <v>102</v>
      </c>
    </row>
    <row r="4" spans="1:8" ht="16.2" thickBot="1" x14ac:dyDescent="0.35">
      <c r="A4" s="22" t="s">
        <v>23</v>
      </c>
      <c r="B4" s="23">
        <v>28</v>
      </c>
      <c r="C4" s="57">
        <v>2250</v>
      </c>
      <c r="D4" s="7">
        <v>9</v>
      </c>
      <c r="E4" s="30">
        <v>9</v>
      </c>
      <c r="F4" s="6">
        <f t="shared" si="0"/>
        <v>182250</v>
      </c>
      <c r="G4" s="59">
        <f t="shared" si="1"/>
        <v>1093500</v>
      </c>
    </row>
    <row r="5" spans="1:8" ht="16.2" thickBot="1" x14ac:dyDescent="0.35">
      <c r="A5" s="20" t="s">
        <v>28</v>
      </c>
      <c r="B5" s="21">
        <v>25</v>
      </c>
      <c r="C5" s="58">
        <v>2250</v>
      </c>
      <c r="D5" s="7">
        <v>8</v>
      </c>
      <c r="E5" s="30">
        <v>9</v>
      </c>
      <c r="F5" s="6">
        <f t="shared" si="0"/>
        <v>162000</v>
      </c>
      <c r="G5" s="59">
        <f t="shared" si="1"/>
        <v>972000</v>
      </c>
    </row>
    <row r="6" spans="1:8" ht="16.2" thickBot="1" x14ac:dyDescent="0.35">
      <c r="A6" s="116" t="s">
        <v>49</v>
      </c>
      <c r="B6" s="117">
        <v>22</v>
      </c>
      <c r="C6" s="118">
        <v>2250</v>
      </c>
      <c r="D6" s="7">
        <v>7</v>
      </c>
      <c r="E6" s="30">
        <v>9</v>
      </c>
      <c r="F6" s="6">
        <f t="shared" si="0"/>
        <v>141750</v>
      </c>
      <c r="G6" s="59">
        <f t="shared" si="1"/>
        <v>850500</v>
      </c>
    </row>
    <row r="7" spans="1:8" ht="16.2" thickBot="1" x14ac:dyDescent="0.35">
      <c r="A7" s="119" t="s">
        <v>32</v>
      </c>
      <c r="B7" s="21">
        <v>9</v>
      </c>
      <c r="C7" s="58">
        <v>2250</v>
      </c>
      <c r="D7" s="7">
        <v>3</v>
      </c>
      <c r="E7" s="30">
        <v>9</v>
      </c>
      <c r="F7" s="6">
        <f t="shared" si="0"/>
        <v>60750</v>
      </c>
      <c r="G7" s="59">
        <f t="shared" si="1"/>
        <v>364500</v>
      </c>
    </row>
    <row r="8" spans="1:8" ht="16.2" thickBot="1" x14ac:dyDescent="0.35">
      <c r="A8" s="121" t="s">
        <v>109</v>
      </c>
      <c r="B8" s="117">
        <v>9</v>
      </c>
      <c r="C8" s="118">
        <v>2250</v>
      </c>
      <c r="D8" s="7">
        <v>3</v>
      </c>
      <c r="E8" s="30">
        <v>9</v>
      </c>
      <c r="F8" s="6">
        <f t="shared" si="0"/>
        <v>60750</v>
      </c>
      <c r="G8" s="59">
        <f t="shared" si="1"/>
        <v>364500</v>
      </c>
    </row>
    <row r="9" spans="1:8" ht="16.2" thickBot="1" x14ac:dyDescent="0.35">
      <c r="A9" s="124" t="s">
        <v>50</v>
      </c>
      <c r="B9" s="114">
        <v>9</v>
      </c>
      <c r="C9" s="115">
        <v>2250</v>
      </c>
      <c r="D9" s="122">
        <v>3</v>
      </c>
      <c r="E9" s="123">
        <v>9</v>
      </c>
      <c r="F9" s="6">
        <f t="shared" si="0"/>
        <v>60750</v>
      </c>
      <c r="G9" s="59">
        <f t="shared" si="1"/>
        <v>364500</v>
      </c>
    </row>
    <row r="10" spans="1:8" ht="16.2" thickBot="1" x14ac:dyDescent="0.35">
      <c r="A10" s="121" t="s">
        <v>33</v>
      </c>
      <c r="B10" s="117">
        <v>8</v>
      </c>
      <c r="C10" s="118">
        <v>2250</v>
      </c>
      <c r="D10" s="7">
        <v>3</v>
      </c>
      <c r="E10" s="30">
        <v>9</v>
      </c>
      <c r="F10" s="6">
        <f t="shared" si="0"/>
        <v>60750</v>
      </c>
      <c r="G10" s="59">
        <f t="shared" si="1"/>
        <v>364500</v>
      </c>
    </row>
    <row r="11" spans="1:8" ht="16.2" thickBot="1" x14ac:dyDescent="0.35">
      <c r="A11" s="120" t="s">
        <v>51</v>
      </c>
      <c r="B11" s="23">
        <v>7</v>
      </c>
      <c r="C11" s="57">
        <v>2250</v>
      </c>
      <c r="D11" s="7">
        <v>2</v>
      </c>
      <c r="E11" s="30">
        <v>9</v>
      </c>
      <c r="F11" s="6">
        <f t="shared" si="0"/>
        <v>40500</v>
      </c>
      <c r="G11" s="59">
        <f t="shared" si="1"/>
        <v>243000</v>
      </c>
    </row>
    <row r="12" spans="1:8" ht="16.2" thickBot="1" x14ac:dyDescent="0.35">
      <c r="A12" s="119" t="s">
        <v>24</v>
      </c>
      <c r="B12" s="21">
        <v>6</v>
      </c>
      <c r="C12" s="58">
        <v>2250</v>
      </c>
      <c r="D12" s="7">
        <v>2</v>
      </c>
      <c r="E12" s="30">
        <v>9</v>
      </c>
      <c r="F12" s="6">
        <f t="shared" si="0"/>
        <v>40500</v>
      </c>
      <c r="G12" s="59">
        <f t="shared" si="1"/>
        <v>243000</v>
      </c>
    </row>
    <row r="13" spans="1:8" ht="16.2" thickBot="1" x14ac:dyDescent="0.35">
      <c r="A13" s="120" t="s">
        <v>52</v>
      </c>
      <c r="B13" s="23">
        <v>5</v>
      </c>
      <c r="C13" s="57">
        <v>2250</v>
      </c>
      <c r="D13" s="7">
        <v>2</v>
      </c>
      <c r="E13" s="30">
        <v>9</v>
      </c>
      <c r="F13" s="6">
        <f t="shared" si="0"/>
        <v>40500</v>
      </c>
      <c r="G13" s="59">
        <f t="shared" si="1"/>
        <v>243000</v>
      </c>
    </row>
    <row r="14" spans="1:8" ht="16.2" thickBot="1" x14ac:dyDescent="0.35">
      <c r="A14" s="119" t="s">
        <v>29</v>
      </c>
      <c r="B14" s="21">
        <v>4</v>
      </c>
      <c r="C14" s="58">
        <v>2250</v>
      </c>
      <c r="D14" s="7">
        <v>1</v>
      </c>
      <c r="E14" s="30">
        <v>9</v>
      </c>
      <c r="F14" s="6">
        <f t="shared" si="0"/>
        <v>20250</v>
      </c>
      <c r="G14" s="59">
        <f t="shared" si="1"/>
        <v>121500</v>
      </c>
    </row>
    <row r="15" spans="1:8" ht="16.2" thickBot="1" x14ac:dyDescent="0.35">
      <c r="A15" s="120" t="s">
        <v>104</v>
      </c>
      <c r="B15" s="23">
        <v>3</v>
      </c>
      <c r="C15" s="57">
        <v>2250</v>
      </c>
      <c r="D15" s="7">
        <v>2</v>
      </c>
      <c r="E15" s="30">
        <v>9</v>
      </c>
      <c r="F15" s="6">
        <f t="shared" si="0"/>
        <v>40500</v>
      </c>
      <c r="G15" s="59">
        <f t="shared" si="1"/>
        <v>243000</v>
      </c>
    </row>
    <row r="16" spans="1:8" ht="16.2" thickBot="1" x14ac:dyDescent="0.35">
      <c r="A16" s="119" t="s">
        <v>53</v>
      </c>
      <c r="B16" s="21">
        <v>3</v>
      </c>
      <c r="C16" s="58">
        <v>2250</v>
      </c>
      <c r="D16" s="7">
        <v>1</v>
      </c>
      <c r="E16" s="30">
        <v>9</v>
      </c>
      <c r="F16" s="6">
        <f t="shared" si="0"/>
        <v>20250</v>
      </c>
      <c r="G16" s="59">
        <f t="shared" si="1"/>
        <v>121500</v>
      </c>
    </row>
    <row r="17" spans="1:7" ht="16.2" thickBot="1" x14ac:dyDescent="0.35">
      <c r="A17" s="120" t="s">
        <v>105</v>
      </c>
      <c r="B17" s="23">
        <v>3</v>
      </c>
      <c r="C17" s="57">
        <v>2250</v>
      </c>
      <c r="D17" s="7">
        <v>2</v>
      </c>
      <c r="E17" s="30">
        <v>9</v>
      </c>
      <c r="F17" s="6">
        <f t="shared" si="0"/>
        <v>40500</v>
      </c>
      <c r="G17" s="59">
        <f t="shared" si="1"/>
        <v>243000</v>
      </c>
    </row>
    <row r="18" spans="1:7" ht="16.2" thickBot="1" x14ac:dyDescent="0.35">
      <c r="A18" s="119" t="s">
        <v>54</v>
      </c>
      <c r="B18" s="21">
        <v>2</v>
      </c>
      <c r="C18" s="58">
        <v>2250</v>
      </c>
      <c r="D18" s="7">
        <v>1</v>
      </c>
      <c r="E18" s="30">
        <v>9</v>
      </c>
      <c r="F18" s="6">
        <f t="shared" si="0"/>
        <v>20250</v>
      </c>
      <c r="G18" s="59">
        <f t="shared" si="1"/>
        <v>121500</v>
      </c>
    </row>
    <row r="19" spans="1:7" ht="16.2" thickBot="1" x14ac:dyDescent="0.35">
      <c r="A19" s="120" t="s">
        <v>37</v>
      </c>
      <c r="B19" s="23">
        <v>2</v>
      </c>
      <c r="C19" s="57">
        <v>2250</v>
      </c>
      <c r="D19" s="7">
        <v>1</v>
      </c>
      <c r="E19" s="30">
        <v>9</v>
      </c>
      <c r="F19" s="6">
        <f t="shared" si="0"/>
        <v>20250</v>
      </c>
      <c r="G19" s="59">
        <f t="shared" si="1"/>
        <v>121500</v>
      </c>
    </row>
    <row r="20" spans="1:7" ht="16.2" thickBot="1" x14ac:dyDescent="0.35">
      <c r="A20" s="119" t="s">
        <v>55</v>
      </c>
      <c r="B20" s="21">
        <v>2</v>
      </c>
      <c r="C20" s="58">
        <v>2250</v>
      </c>
      <c r="D20" s="7">
        <v>1</v>
      </c>
      <c r="E20" s="30">
        <v>9</v>
      </c>
      <c r="F20" s="6">
        <f t="shared" si="0"/>
        <v>20250</v>
      </c>
      <c r="G20" s="59">
        <f t="shared" si="1"/>
        <v>121500</v>
      </c>
    </row>
    <row r="21" spans="1:7" ht="16.2" thickBot="1" x14ac:dyDescent="0.35">
      <c r="A21" s="120" t="s">
        <v>36</v>
      </c>
      <c r="B21" s="23">
        <v>2</v>
      </c>
      <c r="C21" s="57">
        <v>2250</v>
      </c>
      <c r="D21" s="7">
        <v>1</v>
      </c>
      <c r="E21" s="30">
        <v>9</v>
      </c>
      <c r="F21" s="6">
        <f t="shared" si="0"/>
        <v>20250</v>
      </c>
      <c r="G21" s="59">
        <f t="shared" si="1"/>
        <v>121500</v>
      </c>
    </row>
    <row r="22" spans="1:7" ht="16.2" thickBot="1" x14ac:dyDescent="0.35">
      <c r="A22" s="119" t="s">
        <v>106</v>
      </c>
      <c r="B22" s="21">
        <v>2</v>
      </c>
      <c r="C22" s="58">
        <v>2250</v>
      </c>
      <c r="D22" s="7">
        <v>2</v>
      </c>
      <c r="E22" s="30">
        <v>9</v>
      </c>
      <c r="F22" s="6">
        <f t="shared" si="0"/>
        <v>40500</v>
      </c>
      <c r="G22" s="59">
        <f t="shared" si="1"/>
        <v>243000</v>
      </c>
    </row>
    <row r="23" spans="1:7" ht="16.2" thickBot="1" x14ac:dyDescent="0.35">
      <c r="A23" s="120" t="s">
        <v>34</v>
      </c>
      <c r="B23" s="23">
        <v>1</v>
      </c>
      <c r="C23" s="57">
        <v>2250</v>
      </c>
      <c r="D23" s="7">
        <v>1</v>
      </c>
      <c r="E23" s="30">
        <v>9</v>
      </c>
      <c r="F23" s="6">
        <f t="shared" si="0"/>
        <v>20250</v>
      </c>
      <c r="G23" s="59">
        <f t="shared" si="1"/>
        <v>121500</v>
      </c>
    </row>
    <row r="24" spans="1:7" ht="16.2" thickBot="1" x14ac:dyDescent="0.35">
      <c r="A24" s="119" t="s">
        <v>11</v>
      </c>
      <c r="B24" s="21">
        <v>1</v>
      </c>
      <c r="C24" s="58">
        <v>2250</v>
      </c>
      <c r="D24" s="7">
        <v>1</v>
      </c>
      <c r="E24" s="30">
        <v>9</v>
      </c>
      <c r="F24" s="6">
        <f t="shared" si="0"/>
        <v>20250</v>
      </c>
      <c r="G24" s="59">
        <f t="shared" si="1"/>
        <v>121500</v>
      </c>
    </row>
    <row r="25" spans="1:7" ht="16.2" thickBot="1" x14ac:dyDescent="0.35">
      <c r="A25" s="120" t="s">
        <v>56</v>
      </c>
      <c r="B25" s="23">
        <v>1</v>
      </c>
      <c r="C25" s="57">
        <v>2250</v>
      </c>
      <c r="D25" s="7">
        <v>1</v>
      </c>
      <c r="E25" s="30">
        <v>9</v>
      </c>
      <c r="F25" s="6">
        <f t="shared" si="0"/>
        <v>20250</v>
      </c>
      <c r="G25" s="59">
        <f t="shared" si="1"/>
        <v>121500</v>
      </c>
    </row>
    <row r="26" spans="1:7" ht="16.2" thickBot="1" x14ac:dyDescent="0.35">
      <c r="A26" s="120" t="s">
        <v>31</v>
      </c>
      <c r="B26" s="23">
        <v>0</v>
      </c>
      <c r="C26" s="57">
        <v>2250</v>
      </c>
      <c r="D26" s="7">
        <v>1</v>
      </c>
      <c r="E26" s="30">
        <v>9</v>
      </c>
      <c r="F26" s="6">
        <f t="shared" si="0"/>
        <v>20250</v>
      </c>
      <c r="G26" s="59">
        <f t="shared" si="1"/>
        <v>121500</v>
      </c>
    </row>
    <row r="27" spans="1:7" ht="16.2" thickBot="1" x14ac:dyDescent="0.35">
      <c r="A27" s="24" t="s">
        <v>57</v>
      </c>
      <c r="B27" s="25">
        <v>309</v>
      </c>
      <c r="C27" s="29">
        <v>2250</v>
      </c>
      <c r="D27" s="7">
        <f>SUM(D2:D26)</f>
        <v>112</v>
      </c>
      <c r="E27" s="7"/>
      <c r="F27" s="55">
        <f>SUM(F2:F26)</f>
        <v>2268000</v>
      </c>
      <c r="G27" s="60">
        <f>SUM(G2:G26)</f>
        <v>13608000</v>
      </c>
    </row>
    <row r="28" spans="1:7" x14ac:dyDescent="0.3">
      <c r="F28" s="33"/>
      <c r="G28" s="33"/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3"/>
  <sheetViews>
    <sheetView topLeftCell="A16" workbookViewId="0">
      <selection activeCell="D2" sqref="D2:D32"/>
    </sheetView>
  </sheetViews>
  <sheetFormatPr defaultRowHeight="14.4" x14ac:dyDescent="0.3"/>
  <cols>
    <col min="1" max="1" width="8.5546875" customWidth="1"/>
    <col min="2" max="2" width="22.44140625" customWidth="1"/>
    <col min="3" max="3" width="30.33203125" customWidth="1"/>
    <col min="4" max="4" width="11.5546875" customWidth="1"/>
    <col min="5" max="5" width="19.6640625" style="16" customWidth="1"/>
    <col min="6" max="6" width="15.44140625" style="16" customWidth="1"/>
    <col min="7" max="8" width="15" customWidth="1"/>
    <col min="12" max="12" width="19.109375" customWidth="1"/>
  </cols>
  <sheetData>
    <row r="1" spans="1:12" ht="42" customHeight="1" x14ac:dyDescent="0.3">
      <c r="A1" s="1" t="s">
        <v>45</v>
      </c>
      <c r="B1" s="1" t="s">
        <v>0</v>
      </c>
      <c r="C1" s="32" t="s">
        <v>1</v>
      </c>
      <c r="D1" s="77" t="s">
        <v>93</v>
      </c>
      <c r="E1" s="77" t="s">
        <v>94</v>
      </c>
      <c r="F1" s="78" t="s">
        <v>100</v>
      </c>
      <c r="G1" s="78" t="s">
        <v>98</v>
      </c>
      <c r="H1" s="78" t="s">
        <v>99</v>
      </c>
      <c r="I1" s="111" t="s">
        <v>103</v>
      </c>
      <c r="J1" s="111"/>
      <c r="K1" s="111"/>
      <c r="L1" s="111"/>
    </row>
    <row r="2" spans="1:12" ht="15.6" x14ac:dyDescent="0.3">
      <c r="A2" s="3">
        <v>1</v>
      </c>
      <c r="B2" s="101" t="s">
        <v>3</v>
      </c>
      <c r="C2" s="46" t="s">
        <v>4</v>
      </c>
      <c r="D2" s="80">
        <v>12359</v>
      </c>
      <c r="E2" s="84">
        <f>D2*124/397293</f>
        <v>3.8573949201219251</v>
      </c>
      <c r="F2" s="82">
        <v>2</v>
      </c>
      <c r="G2" s="7">
        <v>1</v>
      </c>
      <c r="H2" s="6">
        <f>1800*72*'ΠΡΟΣΒΑΣΙΜΑ ΣΥΓΓΡΑΜΜΑΤΑ'!G2</f>
        <v>129600</v>
      </c>
    </row>
    <row r="3" spans="1:12" ht="15.6" x14ac:dyDescent="0.3">
      <c r="A3" s="3"/>
      <c r="B3" s="102"/>
      <c r="C3" s="46" t="s">
        <v>46</v>
      </c>
      <c r="D3" s="80"/>
      <c r="E3" s="84">
        <f t="shared" ref="E3:E32" si="0">D3*124/397293</f>
        <v>0</v>
      </c>
      <c r="F3" s="82">
        <f t="shared" ref="F3:F29" si="1">E3/2</f>
        <v>0</v>
      </c>
      <c r="G3" s="7">
        <v>1</v>
      </c>
      <c r="H3" s="6">
        <f>1800*72*'ΠΡΟΣΒΑΣΙΜΑ ΣΥΓΓΡΑΜΜΑΤΑ'!G3</f>
        <v>129600</v>
      </c>
    </row>
    <row r="4" spans="1:12" ht="15.6" x14ac:dyDescent="0.3">
      <c r="A4" s="4">
        <v>2</v>
      </c>
      <c r="B4" s="98" t="s">
        <v>5</v>
      </c>
      <c r="C4" s="39" t="s">
        <v>6</v>
      </c>
      <c r="D4" s="80">
        <v>32140</v>
      </c>
      <c r="E4" s="84">
        <f t="shared" si="0"/>
        <v>10.031286732965343</v>
      </c>
      <c r="F4" s="82">
        <v>5</v>
      </c>
      <c r="G4" s="7">
        <v>4</v>
      </c>
      <c r="H4" s="6">
        <f>1800*72*'ΠΡΟΣΒΑΣΙΜΑ ΣΥΓΓΡΑΜΜΑΤΑ'!G4</f>
        <v>518400</v>
      </c>
    </row>
    <row r="5" spans="1:12" ht="15.6" x14ac:dyDescent="0.3">
      <c r="A5" s="4"/>
      <c r="B5" s="99"/>
      <c r="C5" s="39" t="s">
        <v>48</v>
      </c>
      <c r="D5" s="80"/>
      <c r="E5" s="84">
        <f t="shared" si="0"/>
        <v>0</v>
      </c>
      <c r="F5" s="82">
        <f t="shared" si="1"/>
        <v>0</v>
      </c>
      <c r="G5" s="7">
        <v>1</v>
      </c>
      <c r="H5" s="6">
        <f>1800*72*'ΠΡΟΣΒΑΣΙΜΑ ΣΥΓΓΡΑΜΜΑΤΑ'!G5</f>
        <v>129600</v>
      </c>
    </row>
    <row r="6" spans="1:12" ht="15.6" x14ac:dyDescent="0.3">
      <c r="A6" s="4">
        <v>3</v>
      </c>
      <c r="B6" s="49" t="s">
        <v>7</v>
      </c>
      <c r="C6" s="46" t="s">
        <v>8</v>
      </c>
      <c r="D6" s="80">
        <v>19796</v>
      </c>
      <c r="E6" s="84">
        <f t="shared" si="0"/>
        <v>6.178573496135094</v>
      </c>
      <c r="F6" s="82">
        <v>3</v>
      </c>
      <c r="G6" s="7">
        <v>3</v>
      </c>
      <c r="H6" s="6">
        <f>1800*72*'ΠΡΟΣΒΑΣΙΜΑ ΣΥΓΓΡΑΜΜΑΤΑ'!G6</f>
        <v>388800</v>
      </c>
    </row>
    <row r="7" spans="1:12" ht="15.6" x14ac:dyDescent="0.3">
      <c r="A7" s="38">
        <v>4</v>
      </c>
      <c r="B7" s="44" t="s">
        <v>9</v>
      </c>
      <c r="C7" s="39" t="s">
        <v>10</v>
      </c>
      <c r="D7" s="80">
        <v>18226</v>
      </c>
      <c r="E7" s="84">
        <f t="shared" si="0"/>
        <v>5.6885573116062957</v>
      </c>
      <c r="F7" s="82">
        <v>3</v>
      </c>
      <c r="G7" s="7">
        <v>3</v>
      </c>
      <c r="H7" s="6">
        <f>1800*72*'ΠΡΟΣΒΑΣΙΜΑ ΣΥΓΓΡΑΜΜΑΤΑ'!G7</f>
        <v>388800</v>
      </c>
    </row>
    <row r="8" spans="1:12" ht="15.6" x14ac:dyDescent="0.3">
      <c r="A8" s="4">
        <v>5</v>
      </c>
      <c r="B8" s="49" t="s">
        <v>11</v>
      </c>
      <c r="C8" s="46" t="s">
        <v>12</v>
      </c>
      <c r="D8" s="80">
        <v>12217</v>
      </c>
      <c r="E8" s="84">
        <f t="shared" si="0"/>
        <v>3.8130749849607217</v>
      </c>
      <c r="F8" s="82">
        <v>2</v>
      </c>
      <c r="G8" s="7">
        <v>2</v>
      </c>
      <c r="H8" s="6">
        <f>1800*72*'ΠΡΟΣΒΑΣΙΜΑ ΣΥΓΓΡΑΜΜΑΤΑ'!G8</f>
        <v>259200</v>
      </c>
    </row>
    <row r="9" spans="1:12" ht="15.6" x14ac:dyDescent="0.3">
      <c r="A9" s="4">
        <v>6</v>
      </c>
      <c r="B9" s="98" t="s">
        <v>13</v>
      </c>
      <c r="C9" s="39" t="s">
        <v>14</v>
      </c>
      <c r="D9" s="80">
        <v>23435</v>
      </c>
      <c r="E9" s="84">
        <f t="shared" si="0"/>
        <v>7.3143498626957939</v>
      </c>
      <c r="F9" s="82">
        <v>4</v>
      </c>
      <c r="G9" s="7">
        <v>3</v>
      </c>
      <c r="H9" s="6">
        <f>1800*72*'ΠΡΟΣΒΑΣΙΜΑ ΣΥΓΓΡΑΜΜΑΤΑ'!G9</f>
        <v>388800</v>
      </c>
    </row>
    <row r="10" spans="1:12" ht="15.6" x14ac:dyDescent="0.3">
      <c r="A10" s="4"/>
      <c r="B10" s="99"/>
      <c r="C10" s="39" t="s">
        <v>47</v>
      </c>
      <c r="D10" s="80"/>
      <c r="E10" s="84">
        <f t="shared" si="0"/>
        <v>0</v>
      </c>
      <c r="F10" s="82">
        <f t="shared" si="1"/>
        <v>0</v>
      </c>
      <c r="G10" s="7">
        <v>1</v>
      </c>
      <c r="H10" s="6">
        <f>1800*72*'ΠΡΟΣΒΑΣΙΜΑ ΣΥΓΓΡΑΜΜΑΤΑ'!G10</f>
        <v>129600</v>
      </c>
    </row>
    <row r="11" spans="1:12" ht="15.6" x14ac:dyDescent="0.3">
      <c r="A11" s="3">
        <v>7</v>
      </c>
      <c r="B11" s="49" t="s">
        <v>15</v>
      </c>
      <c r="C11" s="46" t="s">
        <v>16</v>
      </c>
      <c r="D11" s="80">
        <v>11134</v>
      </c>
      <c r="E11" s="84">
        <f t="shared" si="0"/>
        <v>3.4750574513016841</v>
      </c>
      <c r="F11" s="82">
        <v>2</v>
      </c>
      <c r="G11" s="7">
        <v>2</v>
      </c>
      <c r="H11" s="6">
        <f>1800*72*'ΠΡΟΣΒΑΣΙΜΑ ΣΥΓΓΡΑΜΜΑΤΑ'!G11</f>
        <v>259200</v>
      </c>
    </row>
    <row r="12" spans="1:12" ht="15.6" x14ac:dyDescent="0.3">
      <c r="A12" s="4">
        <v>8</v>
      </c>
      <c r="B12" s="44" t="s">
        <v>17</v>
      </c>
      <c r="C12" s="39" t="s">
        <v>18</v>
      </c>
      <c r="D12" s="80">
        <v>4419</v>
      </c>
      <c r="E12" s="84">
        <f t="shared" si="0"/>
        <v>1.3792238977278735</v>
      </c>
      <c r="F12" s="82">
        <v>1</v>
      </c>
      <c r="G12" s="7">
        <v>1</v>
      </c>
      <c r="H12" s="6">
        <f>1800*72*'ΠΡΟΣΒΑΣΙΜΑ ΣΥΓΓΡΑΜΜΑΤΑ'!G12</f>
        <v>129600</v>
      </c>
    </row>
    <row r="13" spans="1:12" ht="15.6" x14ac:dyDescent="0.3">
      <c r="A13" s="4">
        <v>9</v>
      </c>
      <c r="B13" s="49" t="s">
        <v>19</v>
      </c>
      <c r="C13" s="46" t="s">
        <v>20</v>
      </c>
      <c r="D13" s="80">
        <v>7282</v>
      </c>
      <c r="E13" s="84">
        <f t="shared" si="0"/>
        <v>2.2728011819991796</v>
      </c>
      <c r="F13" s="82">
        <v>1</v>
      </c>
      <c r="G13" s="7">
        <v>1</v>
      </c>
      <c r="H13" s="6">
        <f>1800*72*'ΠΡΟΣΒΑΣΙΜΑ ΣΥΓΓΡΑΜΜΑΤΑ'!G13</f>
        <v>129600</v>
      </c>
    </row>
    <row r="14" spans="1:12" ht="15.6" x14ac:dyDescent="0.3">
      <c r="A14" s="3">
        <v>10</v>
      </c>
      <c r="B14" s="98" t="s">
        <v>21</v>
      </c>
      <c r="C14" s="39" t="s">
        <v>22</v>
      </c>
      <c r="D14" s="80">
        <v>13481</v>
      </c>
      <c r="E14" s="84">
        <f t="shared" si="0"/>
        <v>4.2075848303393215</v>
      </c>
      <c r="F14" s="82">
        <v>2</v>
      </c>
      <c r="G14" s="7">
        <v>1</v>
      </c>
      <c r="H14" s="6">
        <f>1800*72*'ΠΡΟΣΒΑΣΙΜΑ ΣΥΓΓΡΑΜΜΑΤΑ'!G14</f>
        <v>129600</v>
      </c>
    </row>
    <row r="15" spans="1:12" ht="15.6" x14ac:dyDescent="0.3">
      <c r="A15" s="3"/>
      <c r="B15" s="99"/>
      <c r="C15" s="39" t="s">
        <v>12</v>
      </c>
      <c r="D15" s="80"/>
      <c r="E15" s="84">
        <f t="shared" si="0"/>
        <v>0</v>
      </c>
      <c r="F15" s="82">
        <f t="shared" si="1"/>
        <v>0</v>
      </c>
      <c r="G15" s="7">
        <v>1</v>
      </c>
      <c r="H15" s="6">
        <f>1800*72*'ΠΡΟΣΒΑΣΙΜΑ ΣΥΓΓΡΑΜΜΑΤΑ'!G15</f>
        <v>129600</v>
      </c>
    </row>
    <row r="16" spans="1:12" ht="15.6" x14ac:dyDescent="0.3">
      <c r="A16" s="4">
        <v>11</v>
      </c>
      <c r="B16" s="49" t="s">
        <v>23</v>
      </c>
      <c r="C16" s="46" t="s">
        <v>16</v>
      </c>
      <c r="D16" s="80">
        <v>31960</v>
      </c>
      <c r="E16" s="84">
        <f t="shared" si="0"/>
        <v>9.975106533465226</v>
      </c>
      <c r="F16" s="82">
        <v>5</v>
      </c>
      <c r="G16" s="7">
        <v>5</v>
      </c>
      <c r="H16" s="6">
        <f>1800*72*'ΠΡΟΣΒΑΣΙΜΑ ΣΥΓΓΡΑΜΜΑΤΑ'!G16</f>
        <v>648000</v>
      </c>
    </row>
    <row r="17" spans="1:8" ht="15.6" x14ac:dyDescent="0.3">
      <c r="A17" s="4">
        <v>12</v>
      </c>
      <c r="B17" s="44" t="s">
        <v>24</v>
      </c>
      <c r="C17" s="39" t="s">
        <v>48</v>
      </c>
      <c r="D17" s="80">
        <v>16356</v>
      </c>
      <c r="E17" s="84">
        <f t="shared" si="0"/>
        <v>5.1049074612439682</v>
      </c>
      <c r="F17" s="82">
        <v>3</v>
      </c>
      <c r="G17" s="7">
        <v>3</v>
      </c>
      <c r="H17" s="6">
        <f>1800*72*'ΠΡΟΣΒΑΣΙΜΑ ΣΥΓΓΡΑΜΜΑΤΑ'!G17</f>
        <v>388800</v>
      </c>
    </row>
    <row r="18" spans="1:8" ht="15.6" x14ac:dyDescent="0.3">
      <c r="A18" s="3">
        <v>13</v>
      </c>
      <c r="B18" s="49" t="s">
        <v>26</v>
      </c>
      <c r="C18" s="46" t="s">
        <v>12</v>
      </c>
      <c r="D18" s="80">
        <v>31873</v>
      </c>
      <c r="E18" s="84">
        <f t="shared" si="0"/>
        <v>9.9479527703735027</v>
      </c>
      <c r="F18" s="82">
        <v>5</v>
      </c>
      <c r="G18" s="7">
        <v>5</v>
      </c>
      <c r="H18" s="6">
        <f>1800*72*'ΠΡΟΣΒΑΣΙΜΑ ΣΥΓΓΡΑΜΜΑΤΑ'!G18</f>
        <v>648000</v>
      </c>
    </row>
    <row r="19" spans="1:8" ht="15.6" x14ac:dyDescent="0.3">
      <c r="A19" s="4">
        <v>14</v>
      </c>
      <c r="B19" s="44" t="s">
        <v>27</v>
      </c>
      <c r="C19" s="39" t="s">
        <v>18</v>
      </c>
      <c r="D19" s="80">
        <v>10573</v>
      </c>
      <c r="E19" s="84">
        <f t="shared" si="0"/>
        <v>3.2999624961929861</v>
      </c>
      <c r="F19" s="82">
        <v>2</v>
      </c>
      <c r="G19" s="7">
        <v>2</v>
      </c>
      <c r="H19" s="6">
        <f>1800*72*'ΠΡΟΣΒΑΣΙΜΑ ΣΥΓΓΡΑΜΜΑΤΑ'!G19</f>
        <v>259200</v>
      </c>
    </row>
    <row r="20" spans="1:8" ht="15.6" x14ac:dyDescent="0.3">
      <c r="A20" s="4">
        <v>15</v>
      </c>
      <c r="B20" s="49" t="s">
        <v>28</v>
      </c>
      <c r="C20" s="46" t="s">
        <v>16</v>
      </c>
      <c r="D20" s="80">
        <v>11165</v>
      </c>
      <c r="E20" s="84">
        <f t="shared" si="0"/>
        <v>3.484732930104482</v>
      </c>
      <c r="F20" s="82">
        <v>2</v>
      </c>
      <c r="G20" s="7">
        <v>2</v>
      </c>
      <c r="H20" s="6">
        <f>1800*72*'ΠΡΟΣΒΑΣΙΜΑ ΣΥΓΓΡΑΜΜΑΤΑ'!G20</f>
        <v>259200</v>
      </c>
    </row>
    <row r="21" spans="1:8" ht="15.6" x14ac:dyDescent="0.3">
      <c r="A21" s="3">
        <v>16</v>
      </c>
      <c r="B21" s="44" t="s">
        <v>29</v>
      </c>
      <c r="C21" s="39" t="s">
        <v>16</v>
      </c>
      <c r="D21" s="80">
        <v>2255</v>
      </c>
      <c r="E21" s="84">
        <f t="shared" si="0"/>
        <v>0.7038130548486885</v>
      </c>
      <c r="F21" s="82">
        <v>1</v>
      </c>
      <c r="G21" s="7">
        <v>1</v>
      </c>
      <c r="H21" s="6">
        <f>1800*72*'ΠΡΟΣΒΑΣΙΜΑ ΣΥΓΓΡΑΜΜΑΤΑ'!G21</f>
        <v>129600</v>
      </c>
    </row>
    <row r="22" spans="1:8" ht="15.6" x14ac:dyDescent="0.3">
      <c r="A22" s="4">
        <v>17</v>
      </c>
      <c r="B22" s="101" t="s">
        <v>30</v>
      </c>
      <c r="C22" s="46" t="s">
        <v>16</v>
      </c>
      <c r="D22" s="80">
        <v>7845</v>
      </c>
      <c r="E22" s="84">
        <f t="shared" si="0"/>
        <v>2.4485203615467679</v>
      </c>
      <c r="F22" s="82">
        <v>1</v>
      </c>
      <c r="G22" s="7">
        <v>1</v>
      </c>
      <c r="H22" s="6">
        <f>1800*72*'ΠΡΟΣΒΑΣΙΜΑ ΣΥΓΓΡΑΜΜΑΤΑ'!G22</f>
        <v>129600</v>
      </c>
    </row>
    <row r="23" spans="1:8" ht="15.6" x14ac:dyDescent="0.3">
      <c r="A23" s="4"/>
      <c r="B23" s="102"/>
      <c r="C23" s="46" t="s">
        <v>47</v>
      </c>
      <c r="D23" s="80"/>
      <c r="E23" s="84">
        <f t="shared" si="0"/>
        <v>0</v>
      </c>
      <c r="F23" s="82">
        <f t="shared" si="1"/>
        <v>0</v>
      </c>
      <c r="G23" s="7">
        <v>1</v>
      </c>
      <c r="H23" s="6">
        <f>1800*72*'ΠΡΟΣΒΑΣΙΜΑ ΣΥΓΓΡΑΜΜΑΤΑ'!G23</f>
        <v>129600</v>
      </c>
    </row>
    <row r="24" spans="1:8" ht="15.6" x14ac:dyDescent="0.3">
      <c r="A24" s="4">
        <v>18</v>
      </c>
      <c r="B24" s="44" t="s">
        <v>31</v>
      </c>
      <c r="C24" s="39" t="s">
        <v>16</v>
      </c>
      <c r="D24" s="80">
        <v>2374</v>
      </c>
      <c r="E24" s="84">
        <f t="shared" si="0"/>
        <v>0.74095440896265474</v>
      </c>
      <c r="F24" s="82">
        <v>1</v>
      </c>
      <c r="G24" s="7">
        <v>1</v>
      </c>
      <c r="H24" s="6">
        <f>1800*72*'ΠΡΟΣΒΑΣΙΜΑ ΣΥΓΓΡΑΜΜΑΤΑ'!G24</f>
        <v>129600</v>
      </c>
    </row>
    <row r="25" spans="1:8" ht="15.6" x14ac:dyDescent="0.3">
      <c r="A25" s="3">
        <v>19</v>
      </c>
      <c r="B25" s="49" t="s">
        <v>32</v>
      </c>
      <c r="C25" s="46" t="s">
        <v>16</v>
      </c>
      <c r="D25" s="80">
        <v>9973</v>
      </c>
      <c r="E25" s="84">
        <f t="shared" si="0"/>
        <v>3.1126951645259293</v>
      </c>
      <c r="F25" s="82">
        <v>2</v>
      </c>
      <c r="G25" s="7">
        <v>2</v>
      </c>
      <c r="H25" s="6">
        <f>1800*72*'ΠΡΟΣΒΑΣΙΜΑ ΣΥΓΓΡΑΜΜΑΤΑ'!G25</f>
        <v>259200</v>
      </c>
    </row>
    <row r="26" spans="1:8" ht="15.6" x14ac:dyDescent="0.3">
      <c r="A26" s="4">
        <v>20</v>
      </c>
      <c r="B26" s="44" t="s">
        <v>33</v>
      </c>
      <c r="C26" s="39" t="s">
        <v>6</v>
      </c>
      <c r="D26" s="80">
        <v>9119</v>
      </c>
      <c r="E26" s="84">
        <f t="shared" si="0"/>
        <v>2.8461513291198184</v>
      </c>
      <c r="F26" s="82">
        <v>1</v>
      </c>
      <c r="G26" s="7">
        <v>1</v>
      </c>
      <c r="H26" s="6">
        <f>1800*72*'ΠΡΟΣΒΑΣΙΜΑ ΣΥΓΓΡΑΜΜΑΤΑ'!G26</f>
        <v>129600</v>
      </c>
    </row>
    <row r="27" spans="1:8" ht="15.6" x14ac:dyDescent="0.3">
      <c r="A27" s="4">
        <v>21</v>
      </c>
      <c r="B27" s="49" t="s">
        <v>34</v>
      </c>
      <c r="C27" s="46" t="s">
        <v>16</v>
      </c>
      <c r="D27" s="80">
        <v>1245</v>
      </c>
      <c r="E27" s="84">
        <f t="shared" si="0"/>
        <v>0.38857971320914286</v>
      </c>
      <c r="F27" s="82">
        <v>1</v>
      </c>
      <c r="G27" s="7">
        <v>1</v>
      </c>
      <c r="H27" s="6">
        <f>1800*72*'ΠΡΟΣΒΑΣΙΜΑ ΣΥΓΓΡΑΜΜΑΤΑ'!G27</f>
        <v>129600</v>
      </c>
    </row>
    <row r="28" spans="1:8" ht="15.6" x14ac:dyDescent="0.3">
      <c r="A28" s="38">
        <v>22</v>
      </c>
      <c r="B28" s="98" t="s">
        <v>35</v>
      </c>
      <c r="C28" s="39" t="s">
        <v>16</v>
      </c>
      <c r="D28" s="80">
        <v>42916</v>
      </c>
      <c r="E28" s="84">
        <f t="shared" si="0"/>
        <v>13.394608009705683</v>
      </c>
      <c r="F28" s="82">
        <v>7</v>
      </c>
      <c r="G28" s="7">
        <v>6</v>
      </c>
      <c r="H28" s="6">
        <f>1800*72*'ΠΡΟΣΒΑΣΙΜΑ ΣΥΓΓΡΑΜΜΑΤΑ'!G28</f>
        <v>777600</v>
      </c>
    </row>
    <row r="29" spans="1:8" ht="15.6" x14ac:dyDescent="0.3">
      <c r="A29" s="38"/>
      <c r="B29" s="99"/>
      <c r="C29" s="39" t="s">
        <v>47</v>
      </c>
      <c r="D29" s="80"/>
      <c r="E29" s="84">
        <f t="shared" si="0"/>
        <v>0</v>
      </c>
      <c r="F29" s="82">
        <f t="shared" si="1"/>
        <v>0</v>
      </c>
      <c r="G29" s="7">
        <v>1</v>
      </c>
      <c r="H29" s="6">
        <f>1800*72*'ΠΡΟΣΒΑΣΙΜΑ ΣΥΓΓΡΑΜΜΑΤΑ'!G29</f>
        <v>129600</v>
      </c>
    </row>
    <row r="30" spans="1:8" ht="15.6" x14ac:dyDescent="0.3">
      <c r="A30" s="4">
        <v>23</v>
      </c>
      <c r="B30" s="49" t="s">
        <v>36</v>
      </c>
      <c r="C30" s="46" t="s">
        <v>18</v>
      </c>
      <c r="D30" s="80">
        <v>13893</v>
      </c>
      <c r="E30" s="84">
        <f t="shared" si="0"/>
        <v>4.3361750647507007</v>
      </c>
      <c r="F30" s="82">
        <v>2</v>
      </c>
      <c r="G30" s="7">
        <v>2</v>
      </c>
      <c r="H30" s="6">
        <f>1800*72*'ΠΡΟΣΒΑΣΙΜΑ ΣΥΓΓΡΑΜΜΑΤΑ'!G30</f>
        <v>259200</v>
      </c>
    </row>
    <row r="31" spans="1:8" ht="15.6" x14ac:dyDescent="0.3">
      <c r="A31" s="4">
        <v>24</v>
      </c>
      <c r="B31" s="44" t="s">
        <v>37</v>
      </c>
      <c r="C31" s="39" t="s">
        <v>16</v>
      </c>
      <c r="D31" s="80">
        <v>10294</v>
      </c>
      <c r="E31" s="84">
        <f t="shared" si="0"/>
        <v>3.2128831869678045</v>
      </c>
      <c r="F31" s="82">
        <v>2</v>
      </c>
      <c r="G31" s="7">
        <v>2</v>
      </c>
      <c r="H31" s="6">
        <f>1800*72*'ΠΡΟΣΒΑΣΙΜΑ ΣΥΓΓΡΑΜΜΑΤΑ'!G31</f>
        <v>259200</v>
      </c>
    </row>
    <row r="32" spans="1:8" ht="15.6" x14ac:dyDescent="0.3">
      <c r="A32" s="3">
        <v>25</v>
      </c>
      <c r="B32" s="49" t="s">
        <v>38</v>
      </c>
      <c r="C32" s="46" t="s">
        <v>6</v>
      </c>
      <c r="D32" s="80">
        <v>40963</v>
      </c>
      <c r="E32" s="84">
        <f t="shared" si="0"/>
        <v>12.785052845129414</v>
      </c>
      <c r="F32" s="82">
        <v>6</v>
      </c>
      <c r="G32" s="7">
        <v>6</v>
      </c>
      <c r="H32" s="6">
        <f>1800*72*'ΠΡΟΣΒΑΣΙΜΑ ΣΥΓΓΡΑΜΜΑΤΑ'!G32</f>
        <v>777600</v>
      </c>
    </row>
    <row r="33" spans="3:8" x14ac:dyDescent="0.3">
      <c r="C33" s="79" t="s">
        <v>39</v>
      </c>
      <c r="D33" s="81">
        <f>SUM(D2:D32)</f>
        <v>397293</v>
      </c>
      <c r="E33" s="83">
        <f t="shared" ref="E33:F33" si="2">SUM(E2:E32)</f>
        <v>124.00000000000001</v>
      </c>
      <c r="F33" s="83">
        <f t="shared" si="2"/>
        <v>66</v>
      </c>
      <c r="G33" s="88">
        <f>SUM(G2:G32)</f>
        <v>67</v>
      </c>
      <c r="H33" s="60">
        <f>SUM(H2:H32)</f>
        <v>8683200</v>
      </c>
    </row>
  </sheetData>
  <mergeCells count="7">
    <mergeCell ref="I1:L1"/>
    <mergeCell ref="B28:B29"/>
    <mergeCell ref="B2:B3"/>
    <mergeCell ref="B4:B5"/>
    <mergeCell ref="B9:B10"/>
    <mergeCell ref="B14:B15"/>
    <mergeCell ref="B22:B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ΚΟΣΤΟΛΟΓΗΣΗ</vt:lpstr>
      <vt:lpstr>Sheet6</vt:lpstr>
      <vt:lpstr>Sheet3</vt:lpstr>
      <vt:lpstr>Sheet5</vt:lpstr>
      <vt:lpstr>Sheet4</vt:lpstr>
      <vt:lpstr>ΜΕΤΑΚΙΝΗΣΗ</vt:lpstr>
      <vt:lpstr>ΔΙΕΡΜΗΝΕΙΑ</vt:lpstr>
      <vt:lpstr>ΠΡΟΣΒΑΣΙΜΑ ΣΥΓΓΡΑΜΜΑΤΑ</vt:lpstr>
      <vt:lpstr>ΑΝΑ ΠΕΡΙΦΕΡΕΙΑ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edagre</dc:creator>
  <cp:lastModifiedBy>edagre</cp:lastModifiedBy>
  <dcterms:created xsi:type="dcterms:W3CDTF">2022-03-02T07:32:07Z</dcterms:created>
  <dcterms:modified xsi:type="dcterms:W3CDTF">2022-03-22T12:30:44Z</dcterms:modified>
</cp:coreProperties>
</file>